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drawings/drawing7.xml" ContentType="application/vnd.openxmlformats-officedocument.drawing+xml"/>
  <Override PartName="/xl/ctrlProps/ctrlProp9.xml" ContentType="application/vnd.ms-excel.controlproperties+xml"/>
  <Override PartName="/xl/drawings/drawing8.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hreadedComments/threadedComment2.xml" ContentType="application/vnd.ms-excel.threadedcomments+xml"/>
  <Override PartName="/xl/drawings/drawing9.xml" ContentType="application/vnd.openxmlformats-officedocument.drawing+xml"/>
  <Override PartName="/xl/comments6.xml" ContentType="application/vnd.openxmlformats-officedocument.spreadsheetml.comments+xml"/>
  <Override PartName="/xl/threadedComments/threadedComment3.xml" ContentType="application/vnd.ms-excel.threadedcomments+xml"/>
  <Override PartName="/xl/drawings/drawing10.xml" ContentType="application/vnd.openxmlformats-officedocument.drawing+xml"/>
  <Override PartName="/xl/ctrlProps/ctrlProp10.xml" ContentType="application/vnd.ms-excel.controlproperties+xml"/>
  <Override PartName="/xl/comments7.xml" ContentType="application/vnd.openxmlformats-officedocument.spreadsheetml.comments+xml"/>
  <Override PartName="/xl/drawings/drawing11.xml" ContentType="application/vnd.openxmlformats-officedocument.drawing+xml"/>
  <Override PartName="/xl/ctrlProps/ctrlProp11.xml" ContentType="application/vnd.ms-excel.controlproperties+xml"/>
  <Override PartName="/xl/comments8.xml" ContentType="application/vnd.openxmlformats-officedocument.spreadsheetml.comments+xml"/>
  <Override PartName="/xl/drawings/drawing12.xml" ContentType="application/vnd.openxmlformats-officedocument.drawing+xml"/>
  <Override PartName="/xl/ctrlProps/ctrlProp12.xml" ContentType="application/vnd.ms-excel.controlproperties+xml"/>
  <Override PartName="/xl/comments9.xml" ContentType="application/vnd.openxmlformats-officedocument.spreadsheetml.comments+xml"/>
  <Override PartName="/xl/threadedComments/threadedComment4.xml" ContentType="application/vnd.ms-excel.threadedcomments+xml"/>
  <Override PartName="/xl/drawings/drawing13.xml" ContentType="application/vnd.openxmlformats-officedocument.drawing+xml"/>
  <Override PartName="/xl/ctrlProps/ctrlProp13.xml" ContentType="application/vnd.ms-excel.controlproperties+xml"/>
  <Override PartName="/xl/comments10.xml" ContentType="application/vnd.openxmlformats-officedocument.spreadsheetml.comments+xml"/>
  <Override PartName="/xl/threadedComments/threadedComment5.xml" ContentType="application/vnd.ms-excel.threadedcomments+xml"/>
  <Override PartName="/xl/drawings/drawing14.xml" ContentType="application/vnd.openxmlformats-officedocument.drawing+xml"/>
  <Override PartName="/xl/ctrlProps/ctrlProp14.xml" ContentType="application/vnd.ms-excel.controlproperties+xml"/>
  <Override PartName="/xl/comments11.xml" ContentType="application/vnd.openxmlformats-officedocument.spreadsheetml.comments+xml"/>
  <Override PartName="/xl/threadedComments/threadedComment6.xml" ContentType="application/vnd.ms-excel.threadedcomments+xml"/>
  <Override PartName="/xl/drawings/drawing15.xml" ContentType="application/vnd.openxmlformats-officedocument.drawing+xml"/>
  <Override PartName="/xl/ctrlProps/ctrlProp15.xml" ContentType="application/vnd.ms-excel.controlproperties+xml"/>
  <Override PartName="/xl/comments12.xml" ContentType="application/vnd.openxmlformats-officedocument.spreadsheetml.comments+xml"/>
  <Override PartName="/xl/threadedComments/threadedComment7.xml" ContentType="application/vnd.ms-excel.threadedcomments+xml"/>
  <Override PartName="/xl/drawings/drawing16.xml" ContentType="application/vnd.openxmlformats-officedocument.drawing+xml"/>
  <Override PartName="/xl/ctrlProps/ctrlProp16.xml" ContentType="application/vnd.ms-excel.controlproperties+xml"/>
  <Override PartName="/xl/comments13.xml" ContentType="application/vnd.openxmlformats-officedocument.spreadsheetml.comments+xml"/>
  <Override PartName="/xl/drawings/drawing17.xml" ContentType="application/vnd.openxmlformats-officedocument.drawing+xml"/>
  <Override PartName="/xl/ctrlProps/ctrlProp17.xml" ContentType="application/vnd.ms-excel.controlpropertie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codeName="{AE6600E7-7A62-396C-DE95-9942FA9DD81E}"/>
  <workbookPr codeName="Questa_cartella_di_lavoro" defaultThemeVersion="166925"/>
  <mc:AlternateContent xmlns:mc="http://schemas.openxmlformats.org/markup-compatibility/2006">
    <mc:Choice Requires="x15">
      <x15ac:absPath xmlns:x15ac="http://schemas.microsoft.com/office/spreadsheetml/2010/11/ac" url="C:\Users\adifabio\OneDrive - Invitalia\Desktop\NEXT APPENNINO\B1.3C\"/>
    </mc:Choice>
  </mc:AlternateContent>
  <xr:revisionPtr revIDLastSave="0" documentId="8_{FC11BD3C-C6DF-4020-B565-95779DC838A3}" xr6:coauthVersionLast="47" xr6:coauthVersionMax="47" xr10:uidLastSave="{00000000-0000-0000-0000-000000000000}"/>
  <workbookProtection workbookAlgorithmName="SHA-512" workbookHashValue="8QqdAzZczX8crJ5U4oHYJ0TUT5QRbH88RNu9sEPDrCDXR0QnGMwr56gIO6dUNEoaZpfAEmt3d2EjK3CXn6PsNA==" workbookSaltValue="+/enW0uB7b7vNDhOmBX91g==" workbookSpinCount="100000" lockStructure="1"/>
  <bookViews>
    <workbookView xWindow="-110" yWindow="-110" windowWidth="19420" windowHeight="10420" tabRatio="844" firstSheet="11" activeTab="11" xr2:uid="{E5EEA493-78A4-4690-A0EF-E33B02615A19}"/>
  </bookViews>
  <sheets>
    <sheet name="Dati riepilogativi" sheetId="3" state="hidden" r:id="rId1"/>
    <sheet name="Fonti-Impieghi" sheetId="4" state="hidden" r:id="rId2"/>
    <sheet name="SP-CE-RF" sheetId="1" state="hidden" r:id="rId3"/>
    <sheet name="Report" sheetId="5" state="hidden" r:id="rId4"/>
    <sheet name="Analisi" sheetId="2" state="hidden" r:id="rId5"/>
    <sheet name="Simulazione" sheetId="7" state="hidden" r:id="rId6"/>
    <sheet name="Foglio2" sheetId="10" state="hidden" r:id="rId7"/>
    <sheet name="Preventivi" sheetId="22" state="hidden" r:id="rId8"/>
    <sheet name="Gestione nomi" sheetId="23" state="hidden" r:id="rId9"/>
    <sheet name="Programma di spesa ammesso" sheetId="24" state="hidden" r:id="rId10"/>
    <sheet name="Calcolo contributo CAPO II" sheetId="13" state="hidden" r:id="rId11"/>
    <sheet name="ON ANAGRAFICA" sheetId="52" r:id="rId12"/>
    <sheet name="Dettaglio Investimento" sheetId="55" r:id="rId13"/>
    <sheet name=" Ucraina" sheetId="53" r:id="rId14"/>
    <sheet name="GBER" sheetId="20" r:id="rId15"/>
    <sheet name="FONTI - IMPIEGHI" sheetId="56" r:id="rId16"/>
    <sheet name="STORICO - PROSPETTICO" sheetId="57" r:id="rId17"/>
    <sheet name="Comuni_107_3_C" sheetId="14" state="hidden" r:id="rId18"/>
    <sheet name="ESL_V2" sheetId="18" state="hidden" r:id="rId19"/>
    <sheet name="ESL_V2 (2)" sheetId="19" state="hidden" r:id="rId20"/>
    <sheet name="Input RNA" sheetId="9" state="hidden" r:id="rId21"/>
    <sheet name="RNA" sheetId="8" state="hidden" r:id="rId22"/>
    <sheet name="Coperture_contratto" sheetId="11" state="hidden" r:id="rId23"/>
    <sheet name="Investimenti vs. contratto" sheetId="21" state="hidden" r:id="rId24"/>
    <sheet name="DATI_EROG_SIN" sheetId="51" state="hidden" r:id="rId25"/>
    <sheet name="Anagrafica" sheetId="25" state="hidden" r:id="rId26"/>
    <sheet name="Fonti e cc" sheetId="40" state="hidden" r:id="rId27"/>
    <sheet name="Anticipo" sheetId="26" state="hidden" r:id="rId28"/>
    <sheet name="Mandato Anticipo" sheetId="27" state="hidden" r:id="rId29"/>
    <sheet name="1 SAL" sheetId="28" state="hidden" r:id="rId30"/>
    <sheet name="1 SAL VNQ TAB" sheetId="41" state="hidden" r:id="rId31"/>
    <sheet name="Mandato 1 SAL" sheetId="29" state="hidden" r:id="rId32"/>
    <sheet name="2 SAL" sheetId="30" state="hidden" r:id="rId33"/>
    <sheet name="2 SAL VNQ" sheetId="42" state="hidden" r:id="rId34"/>
    <sheet name="Mandato 2 SAL" sheetId="31" state="hidden" r:id="rId35"/>
    <sheet name="3 SAL" sheetId="32" state="hidden" r:id="rId36"/>
    <sheet name="Mandato 3 SAL" sheetId="33" state="hidden" r:id="rId37"/>
    <sheet name="2 SAL VNQ TAB" sheetId="45" state="hidden" r:id="rId38"/>
    <sheet name="3 SAL VNQ" sheetId="43" state="hidden" r:id="rId39"/>
    <sheet name="4 SAL" sheetId="34" state="hidden" r:id="rId40"/>
    <sheet name="Mandato 4 SAL" sheetId="35" state="hidden" r:id="rId41"/>
    <sheet name="3 SAL VNQ TAB" sheetId="46" state="hidden" r:id="rId42"/>
    <sheet name="4 SAL VNQ" sheetId="47" state="hidden" r:id="rId43"/>
    <sheet name="SAL SALDO" sheetId="36" state="hidden" r:id="rId44"/>
    <sheet name="Mandato SAL SALDO" sheetId="37" state="hidden" r:id="rId45"/>
    <sheet name="4 SAL VNQ TAB" sheetId="48" state="hidden" r:id="rId46"/>
    <sheet name="SALDO SAL VNQ" sheetId="49" state="hidden" r:id="rId47"/>
    <sheet name="SAL UNICO" sheetId="38" state="hidden" r:id="rId48"/>
    <sheet name="Mandato SAL UNICO" sheetId="39" state="hidden" r:id="rId49"/>
    <sheet name="CHECK FINALE" sheetId="50" state="hidden" r:id="rId50"/>
  </sheets>
  <externalReferences>
    <externalReference r:id="rId51"/>
    <externalReference r:id="rId52"/>
  </externalReferences>
  <definedNames>
    <definedName name="_xlnm._FilterDatabase" localSheetId="17" hidden="1">Comuni_107_3_C!$CZ$1:$CZ$45</definedName>
    <definedName name="Abruzzo">Comuni_107_3_C!$CE$2:$CE$5</definedName>
    <definedName name="Ammessosal1">OFFSET('1 SAL'!$L$71,1,0,COUNTA('1 SAL'!$L$71:$L$76)-2,1)</definedName>
    <definedName name="Ammessosal2">OFFSET('2 SAL'!$L$68,1,0,COUNTA('2 SAL'!$L$68:$L$72)-2,1)</definedName>
    <definedName name="Ammessosal3">OFFSET('3 SAL'!$L$69,1,0,COUNTA('3 SAL'!$L$69:$L$76)-2,1)</definedName>
    <definedName name="Ammessosal4">OFFSET('4 SAL'!$L$68,1,0,COUNTA('4 SAL'!$L$68:$L$71)-2,1)</definedName>
    <definedName name="Ammessosalsaldo">OFFSET('SAL SALDO'!$K$68,1,0,COUNTA('SAL SALDO'!$K$68:$K$74)-2,1)</definedName>
    <definedName name="Ammessosalunico">OFFSET('SAL UNICO'!$K$70,1,0,COUNTA('SAL UNICO'!$K$71:$K$74)-1,1)</definedName>
    <definedName name="Ancona">Comuni_107_3_C!$CO$2:$CO$4</definedName>
    <definedName name="_xlnm.Print_Area" localSheetId="29">'1 SAL'!$A$1:$U$159</definedName>
    <definedName name="_xlnm.Print_Area" localSheetId="25">Anagrafica!$AB$10</definedName>
    <definedName name="_xlnm.Print_Area" localSheetId="22">Coperture_contratto!$A$1:$C$22</definedName>
    <definedName name="_xlnm.Print_Area" localSheetId="14">GBER!$A$1:$D$48</definedName>
    <definedName name="_xlnm.Print_Area" localSheetId="31">'Mandato 1 SAL'!$A$4:$H$58</definedName>
    <definedName name="_xlnm.Print_Area" localSheetId="34">'Mandato 2 SAL'!$A$4:$H$58</definedName>
    <definedName name="_xlnm.Print_Area" localSheetId="36">'Mandato 3 SAL'!$A$4:$H$59</definedName>
    <definedName name="_xlnm.Print_Area" localSheetId="40">'Mandato 4 SAL'!$A$4:$H$58</definedName>
    <definedName name="_xlnm.Print_Area" localSheetId="28">'Mandato Anticipo'!$A$4:$H$47</definedName>
    <definedName name="_xlnm.Print_Area" localSheetId="44">'Mandato SAL SALDO'!$A$4:$H$58</definedName>
    <definedName name="_xlnm.Print_Area" localSheetId="48">'Mandato SAL UNICO'!$A$4:$H$58</definedName>
    <definedName name="_xlnm.Print_Area" localSheetId="21">RNA!$A$1:$I$92</definedName>
    <definedName name="Arezzo">Comuni_107_3_C!$AU$2:$AU$7</definedName>
    <definedName name="Ascoli_Piceno">Comuni_107_3_C!$CQ$2:$CQ$24</definedName>
    <definedName name="Belluno">Comuni_107_3_C!$AB$3:$AB$28</definedName>
    <definedName name="Biella">Comuni_107_3_C!$M$3:$M$32</definedName>
    <definedName name="CAPOII" localSheetId="7">'Gestione nomi'!$A$1:$A$8</definedName>
    <definedName name="CAPOII_Att">'Gestione nomi'!$A$1:$A$6</definedName>
    <definedName name="CAPOIII">'Gestione nomi'!$B$1:$B$5</definedName>
    <definedName name="CapoIII_ATT">'Gestione nomi'!$B$1:$B$4</definedName>
    <definedName name="Categoriesal1">OFFSET('1 SAL'!$J$71,1,0,COUNTA('1 SAL'!$J$71:$J$76)-1,1)</definedName>
    <definedName name="Categoriesal2">OFFSET('2 SAL'!$J$68,1,0,COUNTA('2 SAL'!$J$68:$J$72)-1,1)</definedName>
    <definedName name="Categoriesal3">OFFSET('3 SAL'!$J$69,1,0,COUNTA('3 SAL'!$J$69:$J$76)-1,1)</definedName>
    <definedName name="Categoriesal4">OFFSET('4 SAL'!$J$68,1,0,COUNTA('4 SAL'!$J$68:$J$71)-1,1)</definedName>
    <definedName name="Categoriesalsaldo">OFFSET('SAL SALDO'!$I$68,1,0,COUNTA('SAL SALDO'!$I$68:$I$73)-1,1)</definedName>
    <definedName name="Categoriesalunico">OFFSET('SAL UNICO'!$I$70,1,0,COUNTA('SAL UNICO'!$I$70:$I$74)-1,1)</definedName>
    <definedName name="Chieti">Comuni_107_3_C!$BP$3:$BP$32</definedName>
    <definedName name="Circolante">[1]ECO_FIN!$C$39</definedName>
    <definedName name="Como">Comuni_107_3_C!$S$3:$S$24</definedName>
    <definedName name="Comuni">OFFSET(Comuni_107_3_C!$BT$1,1,0,COUNTA(Comuni_107_3_C!$BT:$BT)-1)</definedName>
    <definedName name="Contr_Perc" localSheetId="19">'[2]1-INPUT DATI'!#REF!</definedName>
    <definedName name="Coperture">SUM([1]ECO_FIN!$Q$48:$Q$49)</definedName>
    <definedName name="Cremona">Comuni_107_3_C!$V$3:$V$14</definedName>
    <definedName name="Emilia_Romagna">Comuni_107_3_C!$AL$3:$AL$5</definedName>
    <definedName name="Fabbisogno_complessivo">SUM([1]ECO_FIN!$Q$44:$Q$47)</definedName>
    <definedName name="Fdo_Perd_70">[1]ECO_FIN!$E$46</definedName>
    <definedName name="Fermo">Comuni_107_3_C!$CR$2:$CR$19</definedName>
    <definedName name="Ferrara">Comuni_107_3_C!$AN$3:$AN$19</definedName>
    <definedName name="Fonti_Mutuo">'Fonti e cc'!$A$2:$A$5</definedName>
    <definedName name="Forma_societaria">'Gestione nomi'!$E$1:$E$19</definedName>
    <definedName name="FORNITOREdaquietanzaredeIIIISAL">OFFSET('3 SAL'!$C$106,1,0,COUNTA('3 SAL'!$C$106:$C$109)-1,1)</definedName>
    <definedName name="FORNITOREdaquietanzaredeIIISAL">OFFSET('3 SAL'!$C$106,1,0,COUNTA('3 SAL'!$C$106:$C$110)-1,1)</definedName>
    <definedName name="FORNITOREdaquietanzaredeIISAL" xml:space="preserve"> OFFSET('2 SAL'!$C$102,1,0,COUNTA('2 SAL'!$C$102:$C$107)-1,1)</definedName>
    <definedName name="FORNITOREdaquietanzaredeIIVSAL">OFFSET('SAL SALDO'!$C$103,1,0,COUNTA('SAL SALDO'!$C$103:$C$106)-1,1)</definedName>
    <definedName name="FORNITOREIIISAL">OFFSET('3 SAL'!$C$69,1,0,COUNTA('3 SAL'!$C$69:$C$76)-1,1)</definedName>
    <definedName name="FORNITOREIISAL">+OFFSET('2 SAL'!$C$68,1,0,COUNTA('2 SAL'!$C$68:$C$72)-1,1)</definedName>
    <definedName name="FORNITOREISAL">OFFSET('1 SAL'!$C$71,1,0,COUNTA('1 SAL'!$C$71:$C$76)-1,1)</definedName>
    <definedName name="FORNITOREIVSAL">OFFSET('4 SAL'!$C$68,1,0,COUNTA('4 SAL'!$C$68:$C$71)-1,1)</definedName>
    <definedName name="Friuli_Venezia_Giulia">Comuni_107_3_C!$AC$3:$AC$6</definedName>
    <definedName name="Frosinone">Comuni_107_3_C!$BJ$3:$BJ$14</definedName>
    <definedName name="Genova">Comuni_107_3_C!$AK$3:$AK$26</definedName>
    <definedName name="Gorizia">Comuni_107_3_C!$AE$3:$AE$14</definedName>
    <definedName name="Grosseto">Comuni_107_3_C!$AV$3:$AV$7</definedName>
    <definedName name="Imperia">Comuni_107_3_C!$AI$3:$AI$24</definedName>
    <definedName name="Imponibile">OFFSET(Preventivi!$K$2,1,0,COUNTA(Preventivi!$K:$K)-2,1)</definedName>
    <definedName name="ImponibileONSISMACapoII">OFFSET('Dettaglio Investimento'!$F$1,1,0,+COUNTBLANK('Dettaglio Investimento'!$N:$N)-COUNTBLANK('Dettaglio Investimento'!$L$16:INDIRECT(+ADDRESS(COUNTBLANK('Dettaglio Investimento'!$N:$N),12)))-2,1)</definedName>
    <definedName name="Imponibilesal1">OFFSET('1 SAL'!$F$71,1,0,COUNTA('1 SAL'!$F$71:$F$76)-2,1)</definedName>
    <definedName name="Imponibilesal2">OFFSET('2 SAL'!$F$68,1,0,COUNTA('2 SAL'!$F$68:$F$72)-2,1)</definedName>
    <definedName name="Imponibilesal3">OFFSET('3 SAL'!$F$69,1,0,COUNTA('3 SAL'!$F$69:$F$76)-2,1)</definedName>
    <definedName name="Imponibilesal4">OFFSET('4 SAL'!$F$68,1,0,COUNTA('4 SAL'!$F$68:$F$71)-2,1)</definedName>
    <definedName name="Imponibilesalsaldo">OFFSET('SAL SALDO'!$F$68,1,0,COUNTA('SAL SALDO'!$F$68:$F$73)-2,1)</definedName>
    <definedName name="Imponibilesalunico">OFFSET('SAL UNICO'!$F$71,1,0,COUNTA('SAL UNICO'!$F$71:$F$75)-2,1)</definedName>
    <definedName name="L_Aquila">Comuni_107_3_C!$CJ$2:$CJ$44</definedName>
    <definedName name="La_Spezia">Comuni_107_3_C!$AJ$3:$AJ$8</definedName>
    <definedName name="Latina">Comuni_107_3_C!$BI$3:$BI$15</definedName>
    <definedName name="Lazio">Comuni_107_3_C!$CF$2:$CF$3</definedName>
    <definedName name="Liguria">Comuni_107_3_C!$AG$3:$AG$7</definedName>
    <definedName name="Livorno">Comuni_107_3_C!$AS$3:$AS$7</definedName>
    <definedName name="LOCALIZZAZIONE">'Calcolo contributo CAPO II'!$B$71:$B$73</definedName>
    <definedName name="Lodi">Comuni_107_3_C!$X$3:$X$16</definedName>
    <definedName name="Lombardia">Comuni_107_3_C!$R$3:$R$9</definedName>
    <definedName name="Macerata">Comuni_107_3_C!$CP$2:$CP$47</definedName>
    <definedName name="Macrocategoria">'Gestione nomi'!$M$1:$M$5</definedName>
    <definedName name="MacrocategoriaCapoII">'Gestione nomi'!$M$1:$M$6</definedName>
    <definedName name="Macrovoce">OFFSET(Preventivi!$E$2,1,0,COUNTA(Preventivi!$E:$E)-2,1)</definedName>
    <definedName name="Macrovoce1">OFFSET(Preventivi!$D$2,1,0,COUNTA(Preventivi!$D:$D)-1,1)</definedName>
    <definedName name="Mantova">Comuni_107_3_C!$W$3:$W$13</definedName>
    <definedName name="Marche">Comuni_107_3_C!$CG$2:$CG$6</definedName>
    <definedName name="Massa_Carrara">Comuni_107_3_C!$AP$3:$AP$6</definedName>
    <definedName name="NFATTURAdaquietanzaredelIIISAL">OFFSET('3 SAL'!$B$106,1,0,COUNTA('3 SAL'!$B$106:$B$109)-1,1)</definedName>
    <definedName name="NFATTURAdaquietanzaredelIISAL">+OFFSET('3 SAL'!$B$106,1,0,COUNTA('3 SAL'!$B$106:$B$110)-1,1)</definedName>
    <definedName name="NFATTURAdaquietanzaredelISAL">OFFSET('2 SAL'!$B$102,1,0,COUNTA('2 SAL'!$B$102:$B$107)-1,1)</definedName>
    <definedName name="NFATTURAdaquietanzaredelIVSAL">OFFSET('SAL SALDO'!$B$103,1,0,COUNTA('SAL SALDO'!$B$103:$B$106)-1,1)</definedName>
    <definedName name="NfatturaIIISAL">OFFSET('3 SAL'!$B$69,1,0,COUNTA('3 SAL'!$B$69:$B$76)-1,1)</definedName>
    <definedName name="NfatturaIISAL">+OFFSET('2 SAL'!$B$68,1,0,COUNTA('2 SAL'!$B$68:$B$72)-1,1)</definedName>
    <definedName name="NfatturaISAL">OFFSET('1 SAL'!$B$71,1,0,COUNTA('1 SAL'!$B$71:$B$75)-1,1)</definedName>
    <definedName name="NfatturaIVSAL">OFFSET('4 SAL'!$B$68,1,0,COUNTA('4 SAL'!$B$68:$B$71)-1,1)</definedName>
    <definedName name="Pavia">Comuni_107_3_C!$U$3:$U$27</definedName>
    <definedName name="Perc_Fin">[1]ECO_FIN!$I$44</definedName>
    <definedName name="Perugia">Comuni_107_3_C!$CT$2:$CT$13</definedName>
    <definedName name="Pesaro_e_Urbino">Comuni_107_3_C!$BA$3:$BA$5</definedName>
    <definedName name="Pescara">Comuni_107_3_C!$CL$2:$CL$10</definedName>
    <definedName name="Piacenza">Comuni_107_3_C!$AM$3:$AM$7</definedName>
    <definedName name="Piemonte">Comuni_107_3_C!$K$3:$K$6</definedName>
    <definedName name="Pisa">Comuni_107_3_C!$AT$3:$AT$8</definedName>
    <definedName name="Pistoia">Comuni_107_3_C!$AR$3:$AR$6</definedName>
    <definedName name="Pordenone">Comuni_107_3_C!$AF$3:$AF$8</definedName>
    <definedName name="Provincia">OFFSET(Comuni_107_3_C!XFB1048564,1,0,COUNTA(Comuni_107_3_C!XFB:XFB),1)</definedName>
    <definedName name="Quietanzasal1">OFFSET('1 SAL'!$I$71,1,0,COUNTA('1 SAL'!$I$71:$I$76)-1,1)</definedName>
    <definedName name="Quietanzasal2">OFFSET('2 SAL'!$I$68,1,0,COUNTA('2 SAL'!$I$68:$I$72)-1,1)</definedName>
    <definedName name="Quietanzasal3">OFFSET('3 SAL'!$I$69,1,0,COUNTA('3 SAL'!$I$69:$I$76)-1,1)</definedName>
    <definedName name="Quietanzasal4">OFFSET('4 SAL'!$I$68,1,0,COUNTA('4 SAL'!$I$68:$I$71)-1,1)</definedName>
    <definedName name="Realizzato">OFFSET(Preventivi!$J$2,1,0,COUNTA(Preventivi!$J:$J)-2,1)</definedName>
    <definedName name="Realizzatosal1">OFFSET('1 SAL'!$K$71,1,0,COUNTA('1 SAL'!$K$71:$K$76)-2,1)</definedName>
    <definedName name="Realizzatosal2">OFFSET('2 SAL'!$K$68,1,0,COUNTA('2 SAL'!$K$68:$K$72)-2,1)</definedName>
    <definedName name="Realizzatosal3">OFFSET('3 SAL'!$K$69,1,0,COUNTA('3 SAL'!$K$69:$K$76)-2,1)</definedName>
    <definedName name="Realizzatosal4">OFFSET('4 SAL'!$K$68,1,0,COUNTA('4 SAL'!$K$68:$K$71)-2,1)</definedName>
    <definedName name="Realizzatosalsaldo">OFFSET('SAL SALDO'!$J$68,1,0,COUNTA('SAL SALDO'!$J$68:$J$74)-2,1)</definedName>
    <definedName name="Realizzatosalunico">OFFSET('SAL UNICO'!$J$70,1,0,COUNTA('SAL UNICO'!$J$70:$J$75)-2,1)</definedName>
    <definedName name="REGIONE">'Calcolo contributo CAPO II'!$B$49:$B$68</definedName>
    <definedName name="Regione_2">OFFSET(Comuni_107_3_C!$CA$1,1,0,COUNTA(Comuni_107_3_C!$CA:$CA)-1,1)</definedName>
    <definedName name="Rieti">Comuni_107_3_C!$CM$2:$CM$17</definedName>
    <definedName name="Roma">Comuni_107_3_C!$BK$3:$BK$8</definedName>
    <definedName name="Rovigo">Comuni_107_3_C!$AA$3:$AA$18</definedName>
    <definedName name="Savona">Comuni_107_3_C!$AH$3:$AH$26</definedName>
    <definedName name="Soglia_4">#REF!</definedName>
    <definedName name="Soglia_4_5">#REF!</definedName>
    <definedName name="Soglia_5">#REF!</definedName>
    <definedName name="Soglia_5_5">#REF!</definedName>
    <definedName name="Soglia_6_5">#REF!</definedName>
    <definedName name="Soglia_7">#REF!</definedName>
    <definedName name="Soglia_7_5">#REF!</definedName>
    <definedName name="Soglia_8">#REF!</definedName>
    <definedName name="Soglia_8_5">#REF!</definedName>
    <definedName name="Soglia_9">#REF!</definedName>
    <definedName name="Soglia_9_5">#REF!</definedName>
    <definedName name="Soglia_D_E">[1]ECO_FIN!$I$50</definedName>
    <definedName name="Soglia_massima">#REF!</definedName>
    <definedName name="Soglia_minima">#REF!</definedName>
    <definedName name="solver_adj" localSheetId="18" hidden="1">ESL_V2!$C$13</definedName>
    <definedName name="solver_adj" localSheetId="19" hidden="1">'ESL_V2 (2)'!$C$13</definedName>
    <definedName name="solver_adj" localSheetId="14" hidden="1">GBER!$D$24:$D$31</definedName>
    <definedName name="solver_cvg" localSheetId="18" hidden="1">0.0001</definedName>
    <definedName name="solver_cvg" localSheetId="19" hidden="1">0.0001</definedName>
    <definedName name="solver_cvg" localSheetId="14" hidden="1">0.0001</definedName>
    <definedName name="solver_drv" localSheetId="18" hidden="1">1</definedName>
    <definedName name="solver_drv" localSheetId="19" hidden="1">1</definedName>
    <definedName name="solver_drv" localSheetId="14" hidden="1">1</definedName>
    <definedName name="solver_eng" localSheetId="18" hidden="1">1</definedName>
    <definedName name="solver_eng" localSheetId="19" hidden="1">1</definedName>
    <definedName name="solver_eng" localSheetId="14" hidden="1">1</definedName>
    <definedName name="solver_est" localSheetId="18" hidden="1">1</definedName>
    <definedName name="solver_est" localSheetId="19" hidden="1">1</definedName>
    <definedName name="solver_est" localSheetId="14" hidden="1">1</definedName>
    <definedName name="solver_itr" localSheetId="18" hidden="1">2147483647</definedName>
    <definedName name="solver_itr" localSheetId="19" hidden="1">2147483647</definedName>
    <definedName name="solver_itr" localSheetId="14" hidden="1">2147483647</definedName>
    <definedName name="solver_lhs1" localSheetId="14" hidden="1">GBER!$D$32</definedName>
    <definedName name="solver_mip" localSheetId="18" hidden="1">2147483647</definedName>
    <definedName name="solver_mip" localSheetId="19" hidden="1">2147483647</definedName>
    <definedName name="solver_mip" localSheetId="14" hidden="1">2147483647</definedName>
    <definedName name="solver_mni" localSheetId="18" hidden="1">30</definedName>
    <definedName name="solver_mni" localSheetId="19" hidden="1">30</definedName>
    <definedName name="solver_mni" localSheetId="14" hidden="1">30</definedName>
    <definedName name="solver_mrt" localSheetId="18" hidden="1">0.075</definedName>
    <definedName name="solver_mrt" localSheetId="19" hidden="1">0.075</definedName>
    <definedName name="solver_mrt" localSheetId="14" hidden="1">0.075</definedName>
    <definedName name="solver_msl" localSheetId="18" hidden="1">2</definedName>
    <definedName name="solver_msl" localSheetId="19" hidden="1">2</definedName>
    <definedName name="solver_msl" localSheetId="14" hidden="1">2</definedName>
    <definedName name="solver_neg" localSheetId="18" hidden="1">1</definedName>
    <definedName name="solver_neg" localSheetId="19" hidden="1">1</definedName>
    <definedName name="solver_neg" localSheetId="14" hidden="1">1</definedName>
    <definedName name="solver_nod" localSheetId="18" hidden="1">2147483647</definedName>
    <definedName name="solver_nod" localSheetId="19" hidden="1">2147483647</definedName>
    <definedName name="solver_nod" localSheetId="14" hidden="1">2147483647</definedName>
    <definedName name="solver_num" localSheetId="18" hidden="1">0</definedName>
    <definedName name="solver_num" localSheetId="19" hidden="1">0</definedName>
    <definedName name="solver_num" localSheetId="14" hidden="1">1</definedName>
    <definedName name="solver_nwt" localSheetId="18" hidden="1">1</definedName>
    <definedName name="solver_nwt" localSheetId="19" hidden="1">1</definedName>
    <definedName name="solver_nwt" localSheetId="14" hidden="1">1</definedName>
    <definedName name="solver_opt" localSheetId="18" hidden="1">ESL_V2!$D$9</definedName>
    <definedName name="solver_opt" localSheetId="19" hidden="1">'ESL_V2 (2)'!$D$9</definedName>
    <definedName name="solver_opt" localSheetId="14" hidden="1">GBER!$L$33</definedName>
    <definedName name="solver_pre" localSheetId="18" hidden="1">0.000001</definedName>
    <definedName name="solver_pre" localSheetId="19" hidden="1">0.000001</definedName>
    <definedName name="solver_pre" localSheetId="14" hidden="1">0.000001</definedName>
    <definedName name="solver_rbv" localSheetId="18" hidden="1">1</definedName>
    <definedName name="solver_rbv" localSheetId="19" hidden="1">1</definedName>
    <definedName name="solver_rbv" localSheetId="14" hidden="1">1</definedName>
    <definedName name="solver_rel1" localSheetId="14" hidden="1">2</definedName>
    <definedName name="solver_rhs1" localSheetId="14" hidden="1">1</definedName>
    <definedName name="solver_rlx" localSheetId="18" hidden="1">2</definedName>
    <definedName name="solver_rlx" localSheetId="19" hidden="1">2</definedName>
    <definedName name="solver_rlx" localSheetId="14" hidden="1">2</definedName>
    <definedName name="solver_rsd" localSheetId="18" hidden="1">0</definedName>
    <definedName name="solver_rsd" localSheetId="19" hidden="1">0</definedName>
    <definedName name="solver_rsd" localSheetId="14" hidden="1">0</definedName>
    <definedName name="solver_scl" localSheetId="18" hidden="1">1</definedName>
    <definedName name="solver_scl" localSheetId="19" hidden="1">1</definedName>
    <definedName name="solver_scl" localSheetId="14" hidden="1">1</definedName>
    <definedName name="solver_sho" localSheetId="18" hidden="1">2</definedName>
    <definedName name="solver_sho" localSheetId="19" hidden="1">2</definedName>
    <definedName name="solver_sho" localSheetId="14" hidden="1">2</definedName>
    <definedName name="solver_ssz" localSheetId="18" hidden="1">100</definedName>
    <definedName name="solver_ssz" localSheetId="19" hidden="1">100</definedName>
    <definedName name="solver_ssz" localSheetId="14" hidden="1">100</definedName>
    <definedName name="solver_tim" localSheetId="18" hidden="1">2147483647</definedName>
    <definedName name="solver_tim" localSheetId="19" hidden="1">2147483647</definedName>
    <definedName name="solver_tim" localSheetId="14" hidden="1">2147483647</definedName>
    <definedName name="solver_tol" localSheetId="18" hidden="1">0.01</definedName>
    <definedName name="solver_tol" localSheetId="19" hidden="1">0.01</definedName>
    <definedName name="solver_tol" localSheetId="14" hidden="1">0.01</definedName>
    <definedName name="solver_typ" localSheetId="18" hidden="1">3</definedName>
    <definedName name="solver_typ" localSheetId="19" hidden="1">3</definedName>
    <definedName name="solver_typ" localSheetId="14" hidden="1">1</definedName>
    <definedName name="solver_val" localSheetId="18" hidden="1">200000</definedName>
    <definedName name="solver_val" localSheetId="19" hidden="1">200000</definedName>
    <definedName name="solver_val" localSheetId="14" hidden="1">0.2</definedName>
    <definedName name="solver_ver" localSheetId="18" hidden="1">3</definedName>
    <definedName name="solver_ver" localSheetId="19" hidden="1">3</definedName>
    <definedName name="solver_ver" localSheetId="14" hidden="1">3</definedName>
    <definedName name="Sondrio">Comuni_107_3_C!$T$3:$T$29</definedName>
    <definedName name="SpesaMacrovoceONSISMACapoII">OFFSET('Dettaglio Investimento'!$E$1,1,0,+COUNTBLANK('Dettaglio Investimento'!$N:$N)-COUNTBLANK('Dettaglio Investimento'!$L$16:INDIRECT(+ADDRESS(COUNTBLANK('Dettaglio Investimento'!$N:$N),12)))-2,1)</definedName>
    <definedName name="Teramo">Comuni_107_3_C!$CK$2:$CK$20</definedName>
    <definedName name="Terni">Comuni_107_3_C!$CU$2:$CU$6</definedName>
    <definedName name="Tipologie_erogazioni">'Gestione nomi'!$H$1:$H$7</definedName>
    <definedName name="Torino">Comuni_107_3_C!$N$3:$N$32</definedName>
    <definedName name="Toscana">Comuni_107_3_C!$AO$3:$AO$10</definedName>
    <definedName name="Tot_Punt">#REF!</definedName>
    <definedName name="Udine">Comuni_107_3_C!$AD$3:$AD$15</definedName>
    <definedName name="Umbria">Comuni_107_3_C!$CH$2:$CH$4</definedName>
    <definedName name="Valle_d_Aosta">Comuni_107_3_C!$P$3:$P$4</definedName>
    <definedName name="Valle_d_Aosta_Vallée_d_Aoste">Comuni_107_3_C!$Q$3:$Q$26</definedName>
    <definedName name="Veneto">Comuni_107_3_C!$Y$3:$Y$6</definedName>
    <definedName name="Venezia">Comuni_107_3_C!$Z$3:$Z$4</definedName>
    <definedName name="Vercelli">Comuni_107_3_C!$L$3:$L$25</definedName>
    <definedName name="VettoreQUIETANZATEIIISAL">OFFSET('3 SAL'!$J$106,1,0,COUNTA('3 SAL'!$J$106:$J$109)-1,1)</definedName>
    <definedName name="VettoreQUIETANZATEIISAL">OFFSET('3 SAL'!$J$106,1,0,COUNTA('3 SAL'!$J$106:$J$110)-1,1)</definedName>
    <definedName name="VettoreQUIETANZATEISAL" xml:space="preserve"> OFFSET('2 SAL'!$J$102,1,0,COUNTA('2 SAL'!$J$102:$J$107)-1,1)</definedName>
    <definedName name="VettoreQUIETANZATEIVSAL">OFFSET('SAL SALDO'!$J$103,1,0,COUNTA('SAL SALDO'!$J$103:$J$106)-1,1)</definedName>
    <definedName name="Viterbo">Comuni_107_3_C!$BG$3:$BG$17</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xxlnp="http://schemas.microsoft.com/office/spreadsheetml/2019/extlinksprops" uri="{FCE6A71B-6B00-49CD-AB44-F6B1AE7CDE65}">
      <xxlnp:externalLinksPr autoRefresh="1"/>
    </ext>
  </extLst>
</workbook>
</file>

<file path=xl/calcChain.xml><?xml version="1.0" encoding="utf-8"?>
<calcChain xmlns="http://schemas.openxmlformats.org/spreadsheetml/2006/main">
  <c r="B29" i="52" l="1"/>
  <c r="J16" i="55"/>
  <c r="I4" i="55"/>
  <c r="I5" i="55"/>
  <c r="I6" i="55"/>
  <c r="I7" i="55"/>
  <c r="I8" i="55" l="1"/>
  <c r="I8" i="52" l="1"/>
  <c r="C42" i="52" l="1"/>
  <c r="I2" i="55"/>
  <c r="I3" i="55"/>
  <c r="I9" i="55"/>
  <c r="I10" i="55"/>
  <c r="B8" i="18" l="1"/>
  <c r="I15" i="55"/>
  <c r="K64" i="57"/>
  <c r="J64" i="57"/>
  <c r="I64" i="57"/>
  <c r="H64" i="57"/>
  <c r="G64" i="57"/>
  <c r="F64" i="57"/>
  <c r="E64" i="57"/>
  <c r="D64" i="57"/>
  <c r="C64" i="57"/>
  <c r="K61" i="57"/>
  <c r="J61" i="57"/>
  <c r="I61" i="57"/>
  <c r="H61" i="57"/>
  <c r="G61" i="57"/>
  <c r="F61" i="57"/>
  <c r="E61" i="57"/>
  <c r="D61" i="57"/>
  <c r="C61" i="57"/>
  <c r="O58" i="57"/>
  <c r="N58" i="57"/>
  <c r="K58" i="57"/>
  <c r="J58" i="57"/>
  <c r="I58" i="57"/>
  <c r="H58" i="57"/>
  <c r="G58" i="57"/>
  <c r="F58" i="57"/>
  <c r="E58" i="57"/>
  <c r="D58" i="57"/>
  <c r="C58" i="57"/>
  <c r="K55" i="57"/>
  <c r="J55" i="57"/>
  <c r="I55" i="57"/>
  <c r="H55" i="57"/>
  <c r="G55" i="57"/>
  <c r="F55" i="57"/>
  <c r="E55" i="57"/>
  <c r="D55" i="57"/>
  <c r="C55" i="57"/>
  <c r="K49" i="57"/>
  <c r="J49" i="57"/>
  <c r="I49" i="57"/>
  <c r="H49" i="57"/>
  <c r="G49" i="57"/>
  <c r="F49" i="57"/>
  <c r="E49" i="57"/>
  <c r="D49" i="57"/>
  <c r="C49" i="57"/>
  <c r="T48" i="57"/>
  <c r="S48" i="57"/>
  <c r="R48" i="57"/>
  <c r="Q48" i="57"/>
  <c r="P48" i="57"/>
  <c r="O48" i="57"/>
  <c r="N48" i="57"/>
  <c r="K42" i="57"/>
  <c r="K39" i="57" s="1"/>
  <c r="J42" i="57"/>
  <c r="J39" i="57" s="1"/>
  <c r="I42" i="57"/>
  <c r="I39" i="57" s="1"/>
  <c r="H42" i="57"/>
  <c r="H39" i="57" s="1"/>
  <c r="G42" i="57"/>
  <c r="G39" i="57" s="1"/>
  <c r="F42" i="57"/>
  <c r="F39" i="57" s="1"/>
  <c r="E42" i="57"/>
  <c r="E39" i="57" s="1"/>
  <c r="D42" i="57"/>
  <c r="D39" i="57" s="1"/>
  <c r="C42" i="57"/>
  <c r="C39" i="57" s="1"/>
  <c r="K33" i="57"/>
  <c r="J33" i="57"/>
  <c r="I33" i="57"/>
  <c r="H33" i="57"/>
  <c r="G33" i="57"/>
  <c r="F33" i="57"/>
  <c r="E33" i="57"/>
  <c r="D33" i="57"/>
  <c r="C33" i="57"/>
  <c r="AE31" i="57"/>
  <c r="AD31" i="57"/>
  <c r="AC31" i="57"/>
  <c r="AB31" i="57"/>
  <c r="AA31" i="57"/>
  <c r="Z31" i="57"/>
  <c r="Y31" i="57"/>
  <c r="X31" i="57"/>
  <c r="W31" i="57"/>
  <c r="V31" i="57"/>
  <c r="U31" i="57"/>
  <c r="T31" i="57"/>
  <c r="S31" i="57"/>
  <c r="R31" i="57"/>
  <c r="Q31" i="57"/>
  <c r="P31" i="57"/>
  <c r="O31" i="57"/>
  <c r="N31" i="57"/>
  <c r="K27" i="57"/>
  <c r="J27" i="57"/>
  <c r="I27" i="57"/>
  <c r="H27" i="57"/>
  <c r="G27" i="57"/>
  <c r="F27" i="57"/>
  <c r="E27" i="57"/>
  <c r="D27" i="57"/>
  <c r="C27" i="57"/>
  <c r="AE21" i="57"/>
  <c r="AD21" i="57"/>
  <c r="AC21" i="57"/>
  <c r="AB21" i="57"/>
  <c r="AA21" i="57"/>
  <c r="Z21" i="57"/>
  <c r="Y21" i="57"/>
  <c r="X21" i="57"/>
  <c r="W21" i="57"/>
  <c r="V21" i="57"/>
  <c r="U21" i="57"/>
  <c r="T21" i="57"/>
  <c r="S21" i="57"/>
  <c r="R21" i="57"/>
  <c r="Q21" i="57"/>
  <c r="P21" i="57"/>
  <c r="O21" i="57"/>
  <c r="N21" i="57"/>
  <c r="K19" i="57"/>
  <c r="J19" i="57"/>
  <c r="I19" i="57"/>
  <c r="H19" i="57"/>
  <c r="G19" i="57"/>
  <c r="F19" i="57"/>
  <c r="E19" i="57"/>
  <c r="D19" i="57"/>
  <c r="C19" i="57"/>
  <c r="AE17" i="57"/>
  <c r="AD17" i="57"/>
  <c r="AC17" i="57"/>
  <c r="AB17" i="57"/>
  <c r="AA17" i="57"/>
  <c r="Z17" i="57"/>
  <c r="Y17" i="57"/>
  <c r="X17" i="57"/>
  <c r="W17" i="57"/>
  <c r="V17" i="57"/>
  <c r="U17" i="57"/>
  <c r="T17" i="57"/>
  <c r="S17" i="57"/>
  <c r="R17" i="57"/>
  <c r="Q17" i="57"/>
  <c r="P17" i="57"/>
  <c r="O17" i="57"/>
  <c r="N17" i="57"/>
  <c r="C9" i="57"/>
  <c r="C8" i="57"/>
  <c r="C6" i="57"/>
  <c r="C4" i="57"/>
  <c r="N10" i="57" s="1"/>
  <c r="C2" i="57"/>
  <c r="U15" i="57" s="1"/>
  <c r="E34" i="56"/>
  <c r="E33" i="56"/>
  <c r="E32" i="56"/>
  <c r="D31" i="56"/>
  <c r="C31" i="56"/>
  <c r="E30" i="56"/>
  <c r="E29" i="56"/>
  <c r="E28" i="56"/>
  <c r="E27" i="56"/>
  <c r="E26" i="56"/>
  <c r="D25" i="56"/>
  <c r="C25" i="56"/>
  <c r="E22" i="56"/>
  <c r="E21" i="56"/>
  <c r="E20" i="56"/>
  <c r="Y30" i="57" l="1"/>
  <c r="Y35" i="57" s="1"/>
  <c r="Y37" i="57" s="1"/>
  <c r="C14" i="57"/>
  <c r="C15" i="57" s="1"/>
  <c r="C13" i="57" s="1"/>
  <c r="Q30" i="57"/>
  <c r="Q35" i="57" s="1"/>
  <c r="Q37" i="57" s="1"/>
  <c r="K54" i="57"/>
  <c r="K48" i="57" s="1"/>
  <c r="T30" i="57"/>
  <c r="T35" i="57" s="1"/>
  <c r="T37" i="57" s="1"/>
  <c r="AB30" i="57"/>
  <c r="AB35" i="57" s="1"/>
  <c r="AB37" i="57" s="1"/>
  <c r="U30" i="57"/>
  <c r="U35" i="57" s="1"/>
  <c r="U37" i="57" s="1"/>
  <c r="D18" i="57"/>
  <c r="D16" i="57" s="1"/>
  <c r="I18" i="57"/>
  <c r="I16" i="57" s="1"/>
  <c r="G18" i="57"/>
  <c r="G16" i="57" s="1"/>
  <c r="AC30" i="57"/>
  <c r="AC35" i="57" s="1"/>
  <c r="AC37" i="57" s="1"/>
  <c r="R30" i="57"/>
  <c r="R35" i="57" s="1"/>
  <c r="R37" i="57" s="1"/>
  <c r="Z30" i="57"/>
  <c r="Z35" i="57" s="1"/>
  <c r="Z37" i="57" s="1"/>
  <c r="E18" i="57"/>
  <c r="E16" i="57" s="1"/>
  <c r="O30" i="57"/>
  <c r="O35" i="57" s="1"/>
  <c r="O37" i="57" s="1"/>
  <c r="W30" i="57"/>
  <c r="W35" i="57" s="1"/>
  <c r="W37" i="57" s="1"/>
  <c r="AE30" i="57"/>
  <c r="AE35" i="57" s="1"/>
  <c r="AE37" i="57" s="1"/>
  <c r="J54" i="57"/>
  <c r="J48" i="57" s="1"/>
  <c r="I54" i="57"/>
  <c r="I48" i="57" s="1"/>
  <c r="F54" i="57"/>
  <c r="F48" i="57" s="1"/>
  <c r="E25" i="56"/>
  <c r="S30" i="57"/>
  <c r="S35" i="57" s="1"/>
  <c r="S37" i="57" s="1"/>
  <c r="AA30" i="57"/>
  <c r="AA35" i="57" s="1"/>
  <c r="AA37" i="57" s="1"/>
  <c r="F18" i="57"/>
  <c r="F16" i="57" s="1"/>
  <c r="P30" i="57"/>
  <c r="P35" i="57" s="1"/>
  <c r="P37" i="57" s="1"/>
  <c r="X30" i="57"/>
  <c r="X35" i="57" s="1"/>
  <c r="X37" i="57" s="1"/>
  <c r="C54" i="57"/>
  <c r="C48" i="57" s="1"/>
  <c r="H54" i="57"/>
  <c r="H48" i="57" s="1"/>
  <c r="J18" i="57"/>
  <c r="J16" i="57" s="1"/>
  <c r="G54" i="57"/>
  <c r="G48" i="57" s="1"/>
  <c r="N30" i="57"/>
  <c r="N35" i="57" s="1"/>
  <c r="N37" i="57" s="1"/>
  <c r="AD30" i="57"/>
  <c r="AD35" i="57" s="1"/>
  <c r="AD37" i="57" s="1"/>
  <c r="D54" i="57"/>
  <c r="D48" i="57" s="1"/>
  <c r="V30" i="57"/>
  <c r="V35" i="57" s="1"/>
  <c r="V37" i="57" s="1"/>
  <c r="K18" i="57"/>
  <c r="K16" i="57" s="1"/>
  <c r="E54" i="57"/>
  <c r="E48" i="57" s="1"/>
  <c r="E31" i="56"/>
  <c r="H18" i="57"/>
  <c r="H16" i="57" s="1"/>
  <c r="C18" i="57"/>
  <c r="C16" i="57" s="1"/>
  <c r="B8" i="19"/>
  <c r="W15" i="57"/>
  <c r="S15" i="57"/>
  <c r="O15" i="57"/>
  <c r="Q15" i="57"/>
  <c r="D15" i="57" l="1"/>
  <c r="D13" i="57" s="1"/>
  <c r="N14" i="57"/>
  <c r="O13" i="57" s="1"/>
  <c r="N16" i="57" l="1"/>
  <c r="P14" i="57"/>
  <c r="P16" i="57" s="1"/>
  <c r="E15" i="57"/>
  <c r="R14" i="57" s="1"/>
  <c r="E13" i="57" l="1"/>
  <c r="F15" i="57"/>
  <c r="F13" i="57" s="1"/>
  <c r="Q13" i="57"/>
  <c r="R16" i="57"/>
  <c r="S13" i="57"/>
  <c r="G15" i="57" l="1"/>
  <c r="H15" i="57" s="1"/>
  <c r="T14" i="57"/>
  <c r="U13" i="57" s="1"/>
  <c r="O45" i="57"/>
  <c r="T16" i="57" l="1"/>
  <c r="V14" i="57"/>
  <c r="W13" i="57" s="1"/>
  <c r="G13" i="57"/>
  <c r="O43" i="57"/>
  <c r="O44" i="57"/>
  <c r="H13" i="57"/>
  <c r="X14" i="57"/>
  <c r="I15" i="57"/>
  <c r="O46" i="57" l="1"/>
  <c r="O60" i="57" s="1"/>
  <c r="P59" i="57" s="1"/>
  <c r="V16" i="57"/>
  <c r="V15" i="57"/>
  <c r="P44" i="57"/>
  <c r="P45" i="57"/>
  <c r="P43" i="57"/>
  <c r="Q44" i="57"/>
  <c r="Q43" i="57"/>
  <c r="Q45" i="57"/>
  <c r="Z14" i="57"/>
  <c r="R43" i="57" s="1"/>
  <c r="I13" i="57"/>
  <c r="J15" i="57"/>
  <c r="X16" i="57"/>
  <c r="Y13" i="57"/>
  <c r="Y15" i="57"/>
  <c r="X15" i="57"/>
  <c r="P46" i="57" l="1"/>
  <c r="Q46" i="57"/>
  <c r="R44" i="57"/>
  <c r="R45" i="57"/>
  <c r="J13" i="57"/>
  <c r="K15" i="57"/>
  <c r="AB14" i="57"/>
  <c r="AA15" i="57"/>
  <c r="Z15" i="57"/>
  <c r="AA13" i="57"/>
  <c r="Z16" i="57"/>
  <c r="R46" i="57" l="1"/>
  <c r="AC15" i="57"/>
  <c r="AC13" i="57"/>
  <c r="AB15" i="57"/>
  <c r="AB16" i="57"/>
  <c r="T44" i="57"/>
  <c r="K13" i="57"/>
  <c r="AD14" i="57"/>
  <c r="R41" i="57" s="1"/>
  <c r="S44" i="57" l="1"/>
  <c r="T43" i="57"/>
  <c r="S43" i="57"/>
  <c r="AD15" i="57"/>
  <c r="AE13" i="57"/>
  <c r="AE15" i="57"/>
  <c r="AD16" i="57"/>
  <c r="T45" i="57"/>
  <c r="T41" i="57"/>
  <c r="S45" i="57"/>
  <c r="S41" i="57"/>
  <c r="N45" i="57"/>
  <c r="N43" i="57"/>
  <c r="N44" i="57"/>
  <c r="T46" i="57" l="1"/>
  <c r="S46" i="57"/>
  <c r="N46" i="57"/>
  <c r="N60" i="57" s="1"/>
  <c r="E18" i="20" l="1"/>
  <c r="C41" i="52"/>
  <c r="C24" i="52"/>
  <c r="B6" i="52"/>
  <c r="E19" i="20"/>
  <c r="O12" i="20" a="1"/>
  <c r="O12" i="20" s="1"/>
  <c r="Q12" i="20" s="1"/>
  <c r="H8" i="20"/>
  <c r="Q10" i="20" l="1"/>
  <c r="C43" i="52"/>
  <c r="E27" i="53"/>
  <c r="E50" i="53" s="1"/>
  <c r="E51" i="53" s="1"/>
  <c r="E47" i="53" s="1"/>
  <c r="F31" i="53"/>
  <c r="F32" i="53" s="1"/>
  <c r="E59" i="53"/>
  <c r="V11" i="20"/>
  <c r="V12" i="20" s="1"/>
  <c r="U6" i="20"/>
  <c r="T11" i="20" s="1"/>
  <c r="T12" i="20" s="1"/>
  <c r="D9" i="24" a="1"/>
  <c r="D9" i="24" s="1"/>
  <c r="D8" i="24" a="1"/>
  <c r="D8" i="24" s="1"/>
  <c r="D7" i="24" a="1"/>
  <c r="D7" i="24" s="1"/>
  <c r="D6" i="24" a="1"/>
  <c r="D6" i="24" s="1"/>
  <c r="D5" i="24" a="1"/>
  <c r="D5" i="24" s="1"/>
  <c r="D4" i="24" a="1"/>
  <c r="D4" i="24" s="1"/>
  <c r="C25" i="52"/>
  <c r="C26" i="52"/>
  <c r="C27" i="52"/>
  <c r="C23" i="52"/>
  <c r="I11" i="55"/>
  <c r="C14" i="13"/>
  <c r="C15" i="13"/>
  <c r="C16" i="13"/>
  <c r="C17" i="13"/>
  <c r="C13" i="13"/>
  <c r="C12" i="13"/>
  <c r="I12" i="55"/>
  <c r="D31" i="53" l="1"/>
  <c r="D32" i="53" s="1"/>
  <c r="D45" i="53" s="1"/>
  <c r="T25" i="20"/>
  <c r="T24" i="20"/>
  <c r="I13" i="55"/>
  <c r="I14" i="55"/>
  <c r="D44" i="53" l="1"/>
  <c r="H16" i="55"/>
  <c r="G16" i="55"/>
  <c r="F16" i="55"/>
  <c r="O10" i="20" l="1"/>
  <c r="I16" i="55"/>
  <c r="F39" i="18"/>
  <c r="E39" i="18"/>
  <c r="D23" i="18"/>
  <c r="D24" i="18"/>
  <c r="E40" i="18"/>
  <c r="E14" i="20"/>
  <c r="E11" i="20"/>
  <c r="E12" i="20"/>
  <c r="E13" i="20"/>
  <c r="E10" i="20"/>
  <c r="E9" i="20"/>
  <c r="O11" i="20"/>
  <c r="E41" i="18" l="1"/>
  <c r="O13" i="20" l="1"/>
  <c r="E4" i="20"/>
  <c r="E15" i="53"/>
  <c r="C11" i="20" s="1"/>
  <c r="E16" i="53"/>
  <c r="C12" i="20" s="1"/>
  <c r="D6" i="53"/>
  <c r="E61" i="53"/>
  <c r="E62" i="53" s="1"/>
  <c r="E67" i="53" l="1"/>
  <c r="E26" i="53" l="1"/>
  <c r="E31" i="53" s="1"/>
  <c r="E13" i="53"/>
  <c r="C9" i="20" s="1"/>
  <c r="D15" i="13"/>
  <c r="D14" i="13"/>
  <c r="F15" i="53"/>
  <c r="D11" i="20" s="1"/>
  <c r="F16" i="53"/>
  <c r="D12" i="20" s="1"/>
  <c r="E17" i="53"/>
  <c r="C13" i="20" s="1"/>
  <c r="E14" i="53"/>
  <c r="I5" i="52"/>
  <c r="B6" i="13"/>
  <c r="K9" i="13"/>
  <c r="H4" i="13"/>
  <c r="C37" i="13" s="1"/>
  <c r="E32" i="53" l="1"/>
  <c r="E44" i="53"/>
  <c r="G44" i="53" s="1"/>
  <c r="F44" i="53"/>
  <c r="U7" i="20"/>
  <c r="F14" i="53"/>
  <c r="D10" i="20" s="1"/>
  <c r="C10" i="20"/>
  <c r="E18" i="53"/>
  <c r="C14" i="20" s="1"/>
  <c r="C28" i="52"/>
  <c r="J9" i="13"/>
  <c r="H9" i="13" s="1"/>
  <c r="C38" i="13" s="1"/>
  <c r="C46" i="13"/>
  <c r="E45" i="53" l="1"/>
  <c r="G45" i="53" s="1"/>
  <c r="F45" i="53"/>
  <c r="U11" i="20"/>
  <c r="T31" i="20"/>
  <c r="Q13" i="20" s="1"/>
  <c r="H36" i="20" s="1"/>
  <c r="D26" i="52"/>
  <c r="D24" i="52"/>
  <c r="D25" i="52"/>
  <c r="C41" i="13"/>
  <c r="AB44" i="7"/>
  <c r="B10" i="24"/>
  <c r="C9" i="24" s="1"/>
  <c r="F53" i="39"/>
  <c r="F53" i="37"/>
  <c r="F53" i="35"/>
  <c r="F54" i="33"/>
  <c r="F53" i="31"/>
  <c r="F53" i="29"/>
  <c r="F42" i="27"/>
  <c r="A3" i="51"/>
  <c r="Q17" i="51"/>
  <c r="Q18" i="51"/>
  <c r="Q19" i="51"/>
  <c r="Q20" i="51"/>
  <c r="Q21" i="51"/>
  <c r="Q22" i="51"/>
  <c r="Q23" i="51"/>
  <c r="Q24" i="51"/>
  <c r="Q25" i="51"/>
  <c r="Q26" i="51"/>
  <c r="Q27" i="51"/>
  <c r="Q28" i="51"/>
  <c r="Q16" i="51"/>
  <c r="L16" i="51"/>
  <c r="P17" i="51"/>
  <c r="P18" i="51"/>
  <c r="P19" i="51"/>
  <c r="P20" i="51"/>
  <c r="P21" i="51"/>
  <c r="P22" i="51"/>
  <c r="P23" i="51"/>
  <c r="P24" i="51"/>
  <c r="P25" i="51"/>
  <c r="P26" i="51"/>
  <c r="P27" i="51"/>
  <c r="P28" i="51"/>
  <c r="P16" i="51"/>
  <c r="W39" i="7"/>
  <c r="N21" i="7"/>
  <c r="N17" i="7"/>
  <c r="O59" i="7"/>
  <c r="O16" i="51"/>
  <c r="O17" i="51" s="1"/>
  <c r="O18" i="51" s="1"/>
  <c r="O19" i="51" s="1"/>
  <c r="O20" i="51" s="1"/>
  <c r="O21" i="51" s="1"/>
  <c r="O22" i="51" s="1"/>
  <c r="O23" i="51" s="1"/>
  <c r="O24" i="51" s="1"/>
  <c r="O25" i="51" s="1"/>
  <c r="O26" i="51" s="1"/>
  <c r="O27" i="51" s="1"/>
  <c r="O28" i="51" s="1"/>
  <c r="M16" i="51"/>
  <c r="M17" i="51" s="1"/>
  <c r="M18" i="51" s="1"/>
  <c r="M19" i="51" s="1"/>
  <c r="M20" i="51" s="1"/>
  <c r="M21" i="51" s="1"/>
  <c r="M22" i="51" s="1"/>
  <c r="M23" i="51" s="1"/>
  <c r="M24" i="51" s="1"/>
  <c r="M25" i="51" s="1"/>
  <c r="M26" i="51" s="1"/>
  <c r="M27" i="51" s="1"/>
  <c r="M28" i="51" s="1"/>
  <c r="C16" i="51"/>
  <c r="C17" i="51" s="1"/>
  <c r="C18" i="51" s="1"/>
  <c r="C19" i="51" s="1"/>
  <c r="C20" i="51" s="1"/>
  <c r="C21" i="51" s="1"/>
  <c r="C22" i="51" s="1"/>
  <c r="C23" i="51" s="1"/>
  <c r="C24" i="51" s="1"/>
  <c r="C25" i="51" s="1"/>
  <c r="C26" i="51" s="1"/>
  <c r="C27" i="51" s="1"/>
  <c r="C28" i="51" s="1"/>
  <c r="L28" i="51"/>
  <c r="L27" i="51"/>
  <c r="L26" i="51"/>
  <c r="L25" i="51"/>
  <c r="L24" i="51"/>
  <c r="L23" i="51"/>
  <c r="L22" i="51"/>
  <c r="L21" i="51"/>
  <c r="L20" i="51"/>
  <c r="L19" i="51"/>
  <c r="L18" i="51"/>
  <c r="L17" i="51"/>
  <c r="N27" i="51"/>
  <c r="B17" i="51"/>
  <c r="B19" i="51"/>
  <c r="B21" i="51"/>
  <c r="B23" i="51"/>
  <c r="B25" i="51"/>
  <c r="B27" i="51"/>
  <c r="B3" i="51"/>
  <c r="A9" i="51" s="1"/>
  <c r="K61" i="1"/>
  <c r="J61" i="1"/>
  <c r="I61" i="1"/>
  <c r="H61" i="1"/>
  <c r="G61" i="1"/>
  <c r="F61" i="1"/>
  <c r="E61" i="1"/>
  <c r="D61" i="1"/>
  <c r="C61" i="1"/>
  <c r="O59" i="1"/>
  <c r="E58" i="1"/>
  <c r="N58" i="1"/>
  <c r="K58" i="1"/>
  <c r="J58" i="1"/>
  <c r="I58" i="1"/>
  <c r="H58" i="1"/>
  <c r="G58" i="1"/>
  <c r="F58" i="1"/>
  <c r="D58" i="1"/>
  <c r="C58" i="1"/>
  <c r="F55" i="1"/>
  <c r="Q58" i="1"/>
  <c r="K55" i="1"/>
  <c r="J55" i="1"/>
  <c r="I55" i="1"/>
  <c r="H55" i="1"/>
  <c r="G55" i="1"/>
  <c r="E55" i="1"/>
  <c r="D55" i="1"/>
  <c r="C55" i="1"/>
  <c r="T56" i="1"/>
  <c r="T58" i="1" s="1"/>
  <c r="I49" i="1"/>
  <c r="E49" i="1"/>
  <c r="D49" i="1"/>
  <c r="P58" i="1"/>
  <c r="O58" i="1"/>
  <c r="K49" i="1"/>
  <c r="J49" i="1"/>
  <c r="H49" i="1"/>
  <c r="G49" i="1"/>
  <c r="F49" i="1"/>
  <c r="C49" i="1"/>
  <c r="T48" i="1"/>
  <c r="S48" i="1"/>
  <c r="R48" i="1"/>
  <c r="Q48" i="1"/>
  <c r="P48" i="1"/>
  <c r="O48" i="1"/>
  <c r="N48" i="1"/>
  <c r="K42" i="1"/>
  <c r="K39" i="1" s="1"/>
  <c r="J42" i="1"/>
  <c r="J39" i="1" s="1"/>
  <c r="I42" i="1"/>
  <c r="I39" i="1" s="1"/>
  <c r="H42" i="1"/>
  <c r="H39" i="1" s="1"/>
  <c r="G42" i="1"/>
  <c r="G39" i="1" s="1"/>
  <c r="F42" i="1"/>
  <c r="F39" i="1" s="1"/>
  <c r="E42" i="1"/>
  <c r="E39" i="1" s="1"/>
  <c r="D42" i="1"/>
  <c r="D39" i="1" s="1"/>
  <c r="C42" i="1"/>
  <c r="C39" i="1" s="1"/>
  <c r="K33" i="1"/>
  <c r="J33" i="1"/>
  <c r="I33" i="1"/>
  <c r="H33" i="1"/>
  <c r="G33" i="1"/>
  <c r="F33" i="1"/>
  <c r="E33" i="1"/>
  <c r="D33" i="1"/>
  <c r="C33" i="1"/>
  <c r="AC31" i="1"/>
  <c r="AB31" i="1"/>
  <c r="AA31" i="1"/>
  <c r="Z31" i="1"/>
  <c r="Y31" i="1"/>
  <c r="X31" i="1"/>
  <c r="W31" i="1"/>
  <c r="V31" i="1"/>
  <c r="U31" i="1"/>
  <c r="T31" i="1"/>
  <c r="S31" i="1"/>
  <c r="R31" i="1"/>
  <c r="Q31" i="1"/>
  <c r="P31" i="1"/>
  <c r="O31" i="1"/>
  <c r="N31" i="1"/>
  <c r="C27" i="1"/>
  <c r="T21" i="1"/>
  <c r="E27" i="1"/>
  <c r="K27" i="1"/>
  <c r="J27" i="1"/>
  <c r="I27" i="1"/>
  <c r="H27" i="1"/>
  <c r="G27" i="1"/>
  <c r="F27" i="1"/>
  <c r="D27" i="1"/>
  <c r="E19" i="1"/>
  <c r="AC21" i="1"/>
  <c r="AB21" i="1"/>
  <c r="AA21" i="1"/>
  <c r="Z21" i="1"/>
  <c r="Y21" i="1"/>
  <c r="X21" i="1"/>
  <c r="W21" i="1"/>
  <c r="V21" i="1"/>
  <c r="U21" i="1"/>
  <c r="S21" i="1"/>
  <c r="R21" i="1"/>
  <c r="Q21" i="1"/>
  <c r="P21" i="1"/>
  <c r="O21" i="1"/>
  <c r="N21" i="1"/>
  <c r="F19" i="1"/>
  <c r="K19" i="1"/>
  <c r="J19" i="1"/>
  <c r="I19" i="1"/>
  <c r="H19" i="1"/>
  <c r="G19" i="1"/>
  <c r="D19" i="1"/>
  <c r="C19" i="1"/>
  <c r="T17" i="1"/>
  <c r="AC17" i="1"/>
  <c r="AB17" i="1"/>
  <c r="AA17" i="1"/>
  <c r="Z17" i="1"/>
  <c r="Y17" i="1"/>
  <c r="Y30" i="1" s="1"/>
  <c r="X17" i="1"/>
  <c r="W17" i="1"/>
  <c r="V17" i="1"/>
  <c r="U17" i="1"/>
  <c r="U30" i="1" s="1"/>
  <c r="S17" i="1"/>
  <c r="R17" i="1"/>
  <c r="Q17" i="1"/>
  <c r="Q30" i="1" s="1"/>
  <c r="P17" i="1"/>
  <c r="P30" i="1" s="1"/>
  <c r="O17" i="1"/>
  <c r="N17" i="1"/>
  <c r="R56" i="1"/>
  <c r="R58" i="1" s="1"/>
  <c r="S56" i="1"/>
  <c r="S58" i="1" s="1"/>
  <c r="K3" i="51"/>
  <c r="J3" i="51" s="1"/>
  <c r="D3" i="51"/>
  <c r="F9" i="51"/>
  <c r="I3" i="51"/>
  <c r="H3" i="51"/>
  <c r="G3" i="51"/>
  <c r="F3" i="51"/>
  <c r="C3" i="51"/>
  <c r="C34" i="39"/>
  <c r="C34" i="37"/>
  <c r="C34" i="35"/>
  <c r="C34" i="33"/>
  <c r="C34" i="31"/>
  <c r="C34" i="29"/>
  <c r="C30" i="27"/>
  <c r="S17" i="7"/>
  <c r="S21" i="7"/>
  <c r="C8" i="7"/>
  <c r="C9" i="7"/>
  <c r="DA36" i="7"/>
  <c r="T17" i="7"/>
  <c r="AB61" i="7"/>
  <c r="AC61" i="7" s="1"/>
  <c r="AB62" i="7"/>
  <c r="AC62" i="7" s="1"/>
  <c r="AB57" i="7"/>
  <c r="AB58" i="7"/>
  <c r="AB59" i="7"/>
  <c r="AB51" i="7"/>
  <c r="AB52" i="7"/>
  <c r="AB53" i="7"/>
  <c r="AB54" i="7"/>
  <c r="AB55" i="7"/>
  <c r="D5" i="9"/>
  <c r="AB45" i="7"/>
  <c r="AB46" i="7"/>
  <c r="AB47" i="7"/>
  <c r="D18" i="10"/>
  <c r="B4" i="19"/>
  <c r="B7" i="19" s="1"/>
  <c r="N19" i="19" s="1"/>
  <c r="L90" i="14"/>
  <c r="M90" i="14"/>
  <c r="N90" i="14"/>
  <c r="O90" i="14"/>
  <c r="P90" i="14"/>
  <c r="Q90" i="14"/>
  <c r="R90" i="14"/>
  <c r="S90" i="14"/>
  <c r="T90" i="14"/>
  <c r="U90" i="14"/>
  <c r="V90" i="14"/>
  <c r="W90" i="14"/>
  <c r="X90" i="14"/>
  <c r="Y90" i="14"/>
  <c r="Z90" i="14"/>
  <c r="AA90" i="14"/>
  <c r="AB90" i="14"/>
  <c r="AC90" i="14"/>
  <c r="AD90" i="14"/>
  <c r="AE90" i="14"/>
  <c r="AF90" i="14"/>
  <c r="AG90" i="14"/>
  <c r="AH90" i="14"/>
  <c r="AI90" i="14"/>
  <c r="AJ90" i="14"/>
  <c r="AK90" i="14"/>
  <c r="AL90" i="14"/>
  <c r="AM90" i="14"/>
  <c r="AN90" i="14"/>
  <c r="AO90" i="14"/>
  <c r="AP90" i="14"/>
  <c r="AQ90" i="14"/>
  <c r="AR90" i="14"/>
  <c r="AS90" i="14"/>
  <c r="AT90" i="14"/>
  <c r="AU90" i="14"/>
  <c r="AV90" i="14"/>
  <c r="AW90" i="14"/>
  <c r="AX90" i="14"/>
  <c r="AY90" i="14"/>
  <c r="AZ90" i="14"/>
  <c r="BA90" i="14"/>
  <c r="BB90" i="14"/>
  <c r="BC90" i="14"/>
  <c r="BD90" i="14"/>
  <c r="BE90" i="14"/>
  <c r="BF90" i="14"/>
  <c r="BG90" i="14"/>
  <c r="BH90" i="14"/>
  <c r="BI90" i="14"/>
  <c r="BJ90" i="14"/>
  <c r="BK90" i="14"/>
  <c r="BL90" i="14"/>
  <c r="BM90" i="14"/>
  <c r="BN90" i="14"/>
  <c r="BO90" i="14"/>
  <c r="BP90" i="14"/>
  <c r="BQ90" i="14"/>
  <c r="K90" i="14"/>
  <c r="C6" i="40"/>
  <c r="C2" i="40"/>
  <c r="H12" i="42"/>
  <c r="H13" i="42"/>
  <c r="H14" i="42"/>
  <c r="H15" i="42"/>
  <c r="H16" i="42"/>
  <c r="H17" i="42"/>
  <c r="H18" i="42"/>
  <c r="H19" i="42"/>
  <c r="H20" i="42"/>
  <c r="H21" i="42"/>
  <c r="H22" i="42"/>
  <c r="H23" i="42"/>
  <c r="H24" i="42"/>
  <c r="H25" i="42"/>
  <c r="H26" i="42"/>
  <c r="H27" i="42"/>
  <c r="H28" i="42"/>
  <c r="H29" i="42"/>
  <c r="H30" i="42"/>
  <c r="H31" i="42"/>
  <c r="H32" i="42"/>
  <c r="H33" i="42"/>
  <c r="H34" i="42"/>
  <c r="H35" i="42"/>
  <c r="H36" i="42"/>
  <c r="H37" i="42"/>
  <c r="H38" i="42"/>
  <c r="H39" i="42"/>
  <c r="H40" i="42"/>
  <c r="H41" i="42"/>
  <c r="H42" i="42"/>
  <c r="H43" i="42"/>
  <c r="H44" i="42"/>
  <c r="H45" i="42"/>
  <c r="H46" i="42"/>
  <c r="H47" i="42"/>
  <c r="H48" i="42"/>
  <c r="H49" i="42"/>
  <c r="H50" i="42"/>
  <c r="H51" i="42"/>
  <c r="H52" i="42"/>
  <c r="H53" i="42"/>
  <c r="H54" i="42"/>
  <c r="H55" i="42"/>
  <c r="H56" i="42"/>
  <c r="H57" i="42"/>
  <c r="H58" i="42"/>
  <c r="H59" i="42"/>
  <c r="H60" i="42"/>
  <c r="H61" i="42"/>
  <c r="H62" i="42"/>
  <c r="H63" i="42"/>
  <c r="H64" i="42"/>
  <c r="H65" i="42"/>
  <c r="H66" i="42"/>
  <c r="H67" i="42"/>
  <c r="H68" i="42"/>
  <c r="H69" i="42"/>
  <c r="H70" i="42"/>
  <c r="H71" i="42"/>
  <c r="H72" i="42"/>
  <c r="H73" i="42"/>
  <c r="H74" i="42"/>
  <c r="H75" i="42"/>
  <c r="H76" i="42"/>
  <c r="H77" i="42"/>
  <c r="H78" i="42"/>
  <c r="H79" i="42"/>
  <c r="H80" i="42"/>
  <c r="H81" i="42"/>
  <c r="H82" i="42"/>
  <c r="H83" i="42"/>
  <c r="H84" i="42"/>
  <c r="H85" i="42"/>
  <c r="H86" i="42"/>
  <c r="H87" i="42"/>
  <c r="H88" i="42"/>
  <c r="H89" i="42"/>
  <c r="H90" i="42"/>
  <c r="H91" i="42"/>
  <c r="H92" i="42"/>
  <c r="H93" i="42"/>
  <c r="H94" i="42"/>
  <c r="H95" i="42"/>
  <c r="H96" i="42"/>
  <c r="H97" i="42"/>
  <c r="H98" i="42"/>
  <c r="H99" i="42"/>
  <c r="H100" i="42"/>
  <c r="H101" i="42"/>
  <c r="H102" i="42"/>
  <c r="H103" i="42"/>
  <c r="H104" i="42"/>
  <c r="H105" i="42"/>
  <c r="H106" i="42"/>
  <c r="H107" i="42"/>
  <c r="H108" i="42"/>
  <c r="H109" i="42"/>
  <c r="H110" i="42"/>
  <c r="H111" i="42"/>
  <c r="H112" i="42"/>
  <c r="H113" i="42"/>
  <c r="H114" i="42"/>
  <c r="H115" i="42"/>
  <c r="H116" i="42"/>
  <c r="H117" i="42"/>
  <c r="H118" i="42"/>
  <c r="H119" i="42"/>
  <c r="H120" i="42"/>
  <c r="H121" i="42"/>
  <c r="H122" i="42"/>
  <c r="H123" i="42"/>
  <c r="H124" i="42"/>
  <c r="H125" i="42"/>
  <c r="H126" i="42"/>
  <c r="H127" i="42"/>
  <c r="H128" i="42"/>
  <c r="H129" i="42"/>
  <c r="H130" i="42"/>
  <c r="H131" i="42"/>
  <c r="H132" i="42"/>
  <c r="H133" i="42"/>
  <c r="H134" i="42"/>
  <c r="H135" i="42"/>
  <c r="H136" i="42"/>
  <c r="H137" i="42"/>
  <c r="H138" i="42"/>
  <c r="H139" i="42"/>
  <c r="H140" i="42"/>
  <c r="H141" i="42"/>
  <c r="H142" i="42"/>
  <c r="H143" i="42"/>
  <c r="H144" i="42"/>
  <c r="H145" i="42"/>
  <c r="H146" i="42"/>
  <c r="H147" i="42"/>
  <c r="H148" i="42"/>
  <c r="H149" i="42"/>
  <c r="H150" i="42"/>
  <c r="H151" i="42"/>
  <c r="H152" i="42"/>
  <c r="H153" i="42"/>
  <c r="H154" i="42"/>
  <c r="H155" i="42"/>
  <c r="H156" i="42"/>
  <c r="H157" i="42"/>
  <c r="H158" i="42"/>
  <c r="H159" i="42"/>
  <c r="H160" i="42"/>
  <c r="H161" i="42"/>
  <c r="H162" i="42"/>
  <c r="H163" i="42"/>
  <c r="H164" i="42"/>
  <c r="H165" i="42"/>
  <c r="H166" i="42"/>
  <c r="H167" i="42"/>
  <c r="H168" i="42"/>
  <c r="H169" i="42"/>
  <c r="H170" i="42"/>
  <c r="H171" i="42"/>
  <c r="H172" i="42"/>
  <c r="H173" i="42"/>
  <c r="H174" i="42"/>
  <c r="H175" i="42"/>
  <c r="H176" i="42"/>
  <c r="H177" i="42"/>
  <c r="H178" i="42"/>
  <c r="H179" i="42"/>
  <c r="H180" i="42"/>
  <c r="H181" i="42"/>
  <c r="H182" i="42"/>
  <c r="H183" i="42"/>
  <c r="H184" i="42"/>
  <c r="H185" i="42"/>
  <c r="H186" i="42"/>
  <c r="H187" i="42"/>
  <c r="H188" i="42"/>
  <c r="H189" i="42"/>
  <c r="H190" i="42"/>
  <c r="H191" i="42"/>
  <c r="H192" i="42"/>
  <c r="H193" i="42"/>
  <c r="H194" i="42"/>
  <c r="H195" i="42"/>
  <c r="H196" i="42"/>
  <c r="H197" i="42"/>
  <c r="H198" i="42"/>
  <c r="H199" i="42"/>
  <c r="H200" i="42"/>
  <c r="H201" i="42"/>
  <c r="H202" i="42"/>
  <c r="H203" i="42"/>
  <c r="H204" i="42"/>
  <c r="H205" i="42"/>
  <c r="H206" i="42"/>
  <c r="H207" i="42"/>
  <c r="H208" i="42"/>
  <c r="H209" i="42"/>
  <c r="H210" i="42"/>
  <c r="H211" i="42"/>
  <c r="H212" i="42"/>
  <c r="H213" i="42"/>
  <c r="H214" i="42"/>
  <c r="H215" i="42"/>
  <c r="H216" i="42"/>
  <c r="H217" i="42"/>
  <c r="H218" i="42"/>
  <c r="H219" i="42"/>
  <c r="H220" i="42"/>
  <c r="H221" i="42"/>
  <c r="H222" i="42"/>
  <c r="H223" i="42"/>
  <c r="H224" i="42"/>
  <c r="H225" i="42"/>
  <c r="H226" i="42"/>
  <c r="H227" i="42"/>
  <c r="H228" i="42"/>
  <c r="H229" i="42"/>
  <c r="H230" i="42"/>
  <c r="H231" i="42"/>
  <c r="H232" i="42"/>
  <c r="H233" i="42"/>
  <c r="H234" i="42"/>
  <c r="H235" i="42"/>
  <c r="H236" i="42"/>
  <c r="H237" i="42"/>
  <c r="H238" i="42"/>
  <c r="H239" i="42"/>
  <c r="H240" i="42"/>
  <c r="U7" i="42"/>
  <c r="U8" i="42"/>
  <c r="U9" i="42"/>
  <c r="U10" i="42"/>
  <c r="U11" i="42"/>
  <c r="U12" i="42"/>
  <c r="U13" i="42"/>
  <c r="U14" i="42"/>
  <c r="U15" i="42"/>
  <c r="U16" i="42"/>
  <c r="U17" i="42"/>
  <c r="U18" i="42"/>
  <c r="U19" i="42"/>
  <c r="U20" i="42"/>
  <c r="U21" i="42"/>
  <c r="U22" i="42"/>
  <c r="U23" i="42"/>
  <c r="U24" i="42"/>
  <c r="U25" i="42"/>
  <c r="U26" i="42"/>
  <c r="U27" i="42"/>
  <c r="U28" i="42"/>
  <c r="U29" i="42"/>
  <c r="U30" i="42"/>
  <c r="U31" i="42"/>
  <c r="U32" i="42"/>
  <c r="U33" i="42"/>
  <c r="U34" i="42"/>
  <c r="U35" i="42"/>
  <c r="U36" i="42"/>
  <c r="U37" i="42"/>
  <c r="U38" i="42"/>
  <c r="U39" i="42"/>
  <c r="U40" i="42"/>
  <c r="U41" i="42"/>
  <c r="U42" i="42"/>
  <c r="U43" i="42"/>
  <c r="U44" i="42"/>
  <c r="U45" i="42"/>
  <c r="U46" i="42"/>
  <c r="U47" i="42"/>
  <c r="U48" i="42"/>
  <c r="U49" i="42"/>
  <c r="U50" i="42"/>
  <c r="U51" i="42"/>
  <c r="U52" i="42"/>
  <c r="U53" i="42"/>
  <c r="U54" i="42"/>
  <c r="U55" i="42"/>
  <c r="U56" i="42"/>
  <c r="U57" i="42"/>
  <c r="U58" i="42"/>
  <c r="U59" i="42"/>
  <c r="U60" i="42"/>
  <c r="U61" i="42"/>
  <c r="U62" i="42"/>
  <c r="U63" i="42"/>
  <c r="U64" i="42"/>
  <c r="U65" i="42"/>
  <c r="U66" i="42"/>
  <c r="U67" i="42"/>
  <c r="U68" i="42"/>
  <c r="U69" i="42"/>
  <c r="U70" i="42"/>
  <c r="U71" i="42"/>
  <c r="U72" i="42"/>
  <c r="U73" i="42"/>
  <c r="U74" i="42"/>
  <c r="U75" i="42"/>
  <c r="U76" i="42"/>
  <c r="U77" i="42"/>
  <c r="U78" i="42"/>
  <c r="U79" i="42"/>
  <c r="U80" i="42"/>
  <c r="U81" i="42"/>
  <c r="U82" i="42"/>
  <c r="U83" i="42"/>
  <c r="U84" i="42"/>
  <c r="U85" i="42"/>
  <c r="U86" i="42"/>
  <c r="U87" i="42"/>
  <c r="U88" i="42"/>
  <c r="U89" i="42"/>
  <c r="U90" i="42"/>
  <c r="U91" i="42"/>
  <c r="U92" i="42"/>
  <c r="U93" i="42"/>
  <c r="U94" i="42"/>
  <c r="U95" i="42"/>
  <c r="U96" i="42"/>
  <c r="U97" i="42"/>
  <c r="U98" i="42"/>
  <c r="U99" i="42"/>
  <c r="U100" i="42"/>
  <c r="U101" i="42"/>
  <c r="U102" i="42"/>
  <c r="U103" i="42"/>
  <c r="U104" i="42"/>
  <c r="U105" i="42"/>
  <c r="U106" i="42"/>
  <c r="U107" i="42"/>
  <c r="U108" i="42"/>
  <c r="U109" i="42"/>
  <c r="U110" i="42"/>
  <c r="U111" i="42"/>
  <c r="U112" i="42"/>
  <c r="U113" i="42"/>
  <c r="U114" i="42"/>
  <c r="U115" i="42"/>
  <c r="U116" i="42"/>
  <c r="U117" i="42"/>
  <c r="U118" i="42"/>
  <c r="U119" i="42"/>
  <c r="U120" i="42"/>
  <c r="U121" i="42"/>
  <c r="U122" i="42"/>
  <c r="U123" i="42"/>
  <c r="U124" i="42"/>
  <c r="U125" i="42"/>
  <c r="U126" i="42"/>
  <c r="U127" i="42"/>
  <c r="U128" i="42"/>
  <c r="U129" i="42"/>
  <c r="U130" i="42"/>
  <c r="U131" i="42"/>
  <c r="U132" i="42"/>
  <c r="U133" i="42"/>
  <c r="U134" i="42"/>
  <c r="U135" i="42"/>
  <c r="U136" i="42"/>
  <c r="U137" i="42"/>
  <c r="U138" i="42"/>
  <c r="U139" i="42"/>
  <c r="U140" i="42"/>
  <c r="U141" i="42"/>
  <c r="U142" i="42"/>
  <c r="U143" i="42"/>
  <c r="U144" i="42"/>
  <c r="U145" i="42"/>
  <c r="U146" i="42"/>
  <c r="U147" i="42"/>
  <c r="U148" i="42"/>
  <c r="U149" i="42"/>
  <c r="U150" i="42"/>
  <c r="U151" i="42"/>
  <c r="U152" i="42"/>
  <c r="U153" i="42"/>
  <c r="U154" i="42"/>
  <c r="U155" i="42"/>
  <c r="U156" i="42"/>
  <c r="U157" i="42"/>
  <c r="U158" i="42"/>
  <c r="U159" i="42"/>
  <c r="U160" i="42"/>
  <c r="U161" i="42"/>
  <c r="U162" i="42"/>
  <c r="U163" i="42"/>
  <c r="U164" i="42"/>
  <c r="U165" i="42"/>
  <c r="U166" i="42"/>
  <c r="U167" i="42"/>
  <c r="U168" i="42"/>
  <c r="U169" i="42"/>
  <c r="U170" i="42"/>
  <c r="U171" i="42"/>
  <c r="U172" i="42"/>
  <c r="U173" i="42"/>
  <c r="U174" i="42"/>
  <c r="U175" i="42"/>
  <c r="U176" i="42"/>
  <c r="U177" i="42"/>
  <c r="U178" i="42"/>
  <c r="U179" i="42"/>
  <c r="U180" i="42"/>
  <c r="U181" i="42"/>
  <c r="U182" i="42"/>
  <c r="U183" i="42"/>
  <c r="U184" i="42"/>
  <c r="U185" i="42"/>
  <c r="U186" i="42"/>
  <c r="U187" i="42"/>
  <c r="U188" i="42"/>
  <c r="U189" i="42"/>
  <c r="U190" i="42"/>
  <c r="U191" i="42"/>
  <c r="U192" i="42"/>
  <c r="U193" i="42"/>
  <c r="U194" i="42"/>
  <c r="U195" i="42"/>
  <c r="U196" i="42"/>
  <c r="U197" i="42"/>
  <c r="U198" i="42"/>
  <c r="U199" i="42"/>
  <c r="U200" i="42"/>
  <c r="U201" i="42"/>
  <c r="U202" i="42"/>
  <c r="U203" i="42"/>
  <c r="U204" i="42"/>
  <c r="U205" i="42"/>
  <c r="U206" i="42"/>
  <c r="U207" i="42"/>
  <c r="U208" i="42"/>
  <c r="U209" i="42"/>
  <c r="U210" i="42"/>
  <c r="U211" i="42"/>
  <c r="U212" i="42"/>
  <c r="U213" i="42"/>
  <c r="U214" i="42"/>
  <c r="U215" i="42"/>
  <c r="U216" i="42"/>
  <c r="U217" i="42"/>
  <c r="U218" i="42"/>
  <c r="U219" i="42"/>
  <c r="U220" i="42"/>
  <c r="U221" i="42"/>
  <c r="U222" i="42"/>
  <c r="U223" i="42"/>
  <c r="U224" i="42"/>
  <c r="U225" i="42"/>
  <c r="U226" i="42"/>
  <c r="U227" i="42"/>
  <c r="U228" i="42"/>
  <c r="U229" i="42"/>
  <c r="U230" i="42"/>
  <c r="U231" i="42"/>
  <c r="U232" i="42"/>
  <c r="U233" i="42"/>
  <c r="U234" i="42"/>
  <c r="U235" i="42"/>
  <c r="U236" i="42"/>
  <c r="U237" i="42"/>
  <c r="U238" i="42"/>
  <c r="U239" i="42"/>
  <c r="U240" i="42"/>
  <c r="AJ6" i="43"/>
  <c r="AJ7" i="43"/>
  <c r="AJ8" i="43"/>
  <c r="AJ9" i="43"/>
  <c r="AJ10" i="43"/>
  <c r="AJ11" i="43"/>
  <c r="AJ12" i="43"/>
  <c r="AJ13" i="43"/>
  <c r="AJ14" i="43"/>
  <c r="AJ15" i="43"/>
  <c r="AJ16" i="43"/>
  <c r="AJ17" i="43"/>
  <c r="AJ18" i="43"/>
  <c r="AJ19" i="43"/>
  <c r="AJ20" i="43"/>
  <c r="AJ21" i="43"/>
  <c r="AJ22" i="43"/>
  <c r="AJ23" i="43"/>
  <c r="AJ24" i="43"/>
  <c r="AJ25" i="43"/>
  <c r="AJ26" i="43"/>
  <c r="AJ27" i="43"/>
  <c r="AJ28" i="43"/>
  <c r="AJ29" i="43"/>
  <c r="AJ30" i="43"/>
  <c r="AJ31" i="43"/>
  <c r="AJ32" i="43"/>
  <c r="AJ33" i="43"/>
  <c r="AJ34" i="43"/>
  <c r="AJ35" i="43"/>
  <c r="AJ36" i="43"/>
  <c r="AJ37" i="43"/>
  <c r="AJ38" i="43"/>
  <c r="AJ39" i="43"/>
  <c r="AJ40" i="43"/>
  <c r="AJ41" i="43"/>
  <c r="AJ42" i="43"/>
  <c r="AJ43" i="43"/>
  <c r="AJ44" i="43"/>
  <c r="AJ45" i="43"/>
  <c r="AJ46" i="43"/>
  <c r="AJ47" i="43"/>
  <c r="AJ48" i="43"/>
  <c r="AJ49" i="43"/>
  <c r="AJ50" i="43"/>
  <c r="AJ51" i="43"/>
  <c r="AJ52" i="43"/>
  <c r="AJ53" i="43"/>
  <c r="AJ54" i="43"/>
  <c r="AJ55" i="43"/>
  <c r="AJ56" i="43"/>
  <c r="AJ57" i="43"/>
  <c r="AJ58" i="43"/>
  <c r="AJ59" i="43"/>
  <c r="AJ60" i="43"/>
  <c r="AJ61" i="43"/>
  <c r="AJ62" i="43"/>
  <c r="AJ63" i="43"/>
  <c r="AJ64" i="43"/>
  <c r="AJ65" i="43"/>
  <c r="AJ66" i="43"/>
  <c r="AJ67" i="43"/>
  <c r="AJ68" i="43"/>
  <c r="AJ69" i="43"/>
  <c r="AJ70" i="43"/>
  <c r="AJ71" i="43"/>
  <c r="AJ72" i="43"/>
  <c r="AJ73" i="43"/>
  <c r="AJ74" i="43"/>
  <c r="AJ75" i="43"/>
  <c r="AJ76" i="43"/>
  <c r="AJ77" i="43"/>
  <c r="AJ78" i="43"/>
  <c r="AJ79" i="43"/>
  <c r="AJ80" i="43"/>
  <c r="AJ81" i="43"/>
  <c r="AJ82" i="43"/>
  <c r="AJ83" i="43"/>
  <c r="AJ84" i="43"/>
  <c r="AJ85" i="43"/>
  <c r="AJ86" i="43"/>
  <c r="AJ87" i="43"/>
  <c r="AJ88" i="43"/>
  <c r="AJ89" i="43"/>
  <c r="AJ90" i="43"/>
  <c r="AJ91" i="43"/>
  <c r="AJ92" i="43"/>
  <c r="AJ93" i="43"/>
  <c r="AJ94" i="43"/>
  <c r="AJ95" i="43"/>
  <c r="AJ96" i="43"/>
  <c r="AJ97" i="43"/>
  <c r="AJ98" i="43"/>
  <c r="AJ99" i="43"/>
  <c r="AJ100" i="43"/>
  <c r="AJ101" i="43"/>
  <c r="AJ102" i="43"/>
  <c r="AJ103" i="43"/>
  <c r="AJ104" i="43"/>
  <c r="AJ105" i="43"/>
  <c r="AJ106" i="43"/>
  <c r="AJ107" i="43"/>
  <c r="AJ108" i="43"/>
  <c r="AJ109" i="43"/>
  <c r="AJ110" i="43"/>
  <c r="AJ111" i="43"/>
  <c r="AJ112" i="43"/>
  <c r="AJ113" i="43"/>
  <c r="AJ114" i="43"/>
  <c r="AJ115" i="43"/>
  <c r="AJ116" i="43"/>
  <c r="AJ117" i="43"/>
  <c r="AJ118" i="43"/>
  <c r="AJ119" i="43"/>
  <c r="AJ120" i="43"/>
  <c r="AJ121" i="43"/>
  <c r="AJ122" i="43"/>
  <c r="AJ123" i="43"/>
  <c r="AJ124" i="43"/>
  <c r="AJ125" i="43"/>
  <c r="AJ126" i="43"/>
  <c r="AJ127" i="43"/>
  <c r="AJ128" i="43"/>
  <c r="AJ129" i="43"/>
  <c r="AJ130" i="43"/>
  <c r="AJ131" i="43"/>
  <c r="AJ132" i="43"/>
  <c r="AJ133" i="43"/>
  <c r="AJ134" i="43"/>
  <c r="AJ135" i="43"/>
  <c r="AJ136" i="43"/>
  <c r="AJ137" i="43"/>
  <c r="AJ138" i="43"/>
  <c r="AJ139" i="43"/>
  <c r="AJ140" i="43"/>
  <c r="AJ141" i="43"/>
  <c r="AJ142" i="43"/>
  <c r="AJ143" i="43"/>
  <c r="AJ144" i="43"/>
  <c r="AJ145" i="43"/>
  <c r="AJ146" i="43"/>
  <c r="AJ147" i="43"/>
  <c r="AJ148" i="43"/>
  <c r="AJ149" i="43"/>
  <c r="AJ150" i="43"/>
  <c r="AJ151" i="43"/>
  <c r="AJ152" i="43"/>
  <c r="AJ153" i="43"/>
  <c r="AJ154" i="43"/>
  <c r="AJ155" i="43"/>
  <c r="AJ156" i="43"/>
  <c r="AJ157" i="43"/>
  <c r="AJ158" i="43"/>
  <c r="AJ159" i="43"/>
  <c r="AJ160" i="43"/>
  <c r="AJ161" i="43"/>
  <c r="AJ162" i="43"/>
  <c r="AJ163" i="43"/>
  <c r="AJ164" i="43"/>
  <c r="AJ165" i="43"/>
  <c r="AJ166" i="43"/>
  <c r="AJ167" i="43"/>
  <c r="AJ168" i="43"/>
  <c r="AJ169" i="43"/>
  <c r="AJ170" i="43"/>
  <c r="AJ171" i="43"/>
  <c r="AJ172" i="43"/>
  <c r="AJ173" i="43"/>
  <c r="AJ174" i="43"/>
  <c r="AJ175" i="43"/>
  <c r="AJ176" i="43"/>
  <c r="AJ177" i="43"/>
  <c r="AJ178" i="43"/>
  <c r="AJ179" i="43"/>
  <c r="AJ180" i="43"/>
  <c r="AJ181" i="43"/>
  <c r="AJ182" i="43"/>
  <c r="AJ183" i="43"/>
  <c r="AJ184" i="43"/>
  <c r="AJ185" i="43"/>
  <c r="AJ186" i="43"/>
  <c r="AJ187" i="43"/>
  <c r="AJ188" i="43"/>
  <c r="AJ189" i="43"/>
  <c r="AJ190" i="43"/>
  <c r="AJ191" i="43"/>
  <c r="AJ192" i="43"/>
  <c r="AJ193" i="43"/>
  <c r="AJ194" i="43"/>
  <c r="AJ195" i="43"/>
  <c r="AJ196" i="43"/>
  <c r="AJ197" i="43"/>
  <c r="AJ198" i="43"/>
  <c r="AJ199" i="43"/>
  <c r="AJ200" i="43"/>
  <c r="AJ201" i="43"/>
  <c r="AJ202" i="43"/>
  <c r="AJ203" i="43"/>
  <c r="AJ204" i="43"/>
  <c r="AJ205" i="43"/>
  <c r="AJ206" i="43"/>
  <c r="AJ207" i="43"/>
  <c r="AJ208" i="43"/>
  <c r="AJ209" i="43"/>
  <c r="AJ210" i="43"/>
  <c r="AJ211" i="43"/>
  <c r="AJ212" i="43"/>
  <c r="AJ213" i="43"/>
  <c r="AJ214" i="43"/>
  <c r="AJ215" i="43"/>
  <c r="AJ216" i="43"/>
  <c r="AJ217" i="43"/>
  <c r="AJ218" i="43"/>
  <c r="AJ219" i="43"/>
  <c r="AJ220" i="43"/>
  <c r="AJ221" i="43"/>
  <c r="AJ222" i="43"/>
  <c r="AJ223" i="43"/>
  <c r="AJ224" i="43"/>
  <c r="AJ225" i="43"/>
  <c r="AJ226" i="43"/>
  <c r="AJ227" i="43"/>
  <c r="AJ228" i="43"/>
  <c r="AJ229" i="43"/>
  <c r="AJ230" i="43"/>
  <c r="AJ231" i="43"/>
  <c r="AJ232" i="43"/>
  <c r="AJ233" i="43"/>
  <c r="AJ234" i="43"/>
  <c r="AJ235" i="43"/>
  <c r="AJ236" i="43"/>
  <c r="AJ237" i="43"/>
  <c r="AJ238" i="43"/>
  <c r="AJ239" i="43"/>
  <c r="AJ240" i="43"/>
  <c r="X9" i="43"/>
  <c r="X10" i="43"/>
  <c r="X11" i="43"/>
  <c r="X12" i="43"/>
  <c r="X13" i="43"/>
  <c r="X14" i="43"/>
  <c r="X15" i="43"/>
  <c r="X16" i="43"/>
  <c r="X17" i="43"/>
  <c r="X18" i="43"/>
  <c r="X19" i="43"/>
  <c r="X20" i="43"/>
  <c r="X21" i="43"/>
  <c r="X22" i="43"/>
  <c r="X23" i="43"/>
  <c r="X24" i="43"/>
  <c r="X25" i="43"/>
  <c r="X26" i="43"/>
  <c r="X27" i="43"/>
  <c r="X28" i="43"/>
  <c r="X29" i="43"/>
  <c r="X30" i="43"/>
  <c r="X31" i="43"/>
  <c r="X32" i="43"/>
  <c r="X33" i="43"/>
  <c r="X34" i="43"/>
  <c r="X35" i="43"/>
  <c r="X36" i="43"/>
  <c r="X37" i="43"/>
  <c r="X38" i="43"/>
  <c r="X39" i="43"/>
  <c r="X40" i="43"/>
  <c r="X41" i="43"/>
  <c r="X42" i="43"/>
  <c r="X43" i="43"/>
  <c r="X44" i="43"/>
  <c r="X45" i="43"/>
  <c r="X46" i="43"/>
  <c r="X47" i="43"/>
  <c r="X48" i="43"/>
  <c r="X49" i="43"/>
  <c r="X50" i="43"/>
  <c r="X51" i="43"/>
  <c r="X52" i="43"/>
  <c r="X53" i="43"/>
  <c r="X54" i="43"/>
  <c r="X55" i="43"/>
  <c r="X56" i="43"/>
  <c r="X57" i="43"/>
  <c r="X58" i="43"/>
  <c r="X59" i="43"/>
  <c r="X60" i="43"/>
  <c r="X61" i="43"/>
  <c r="X62" i="43"/>
  <c r="X63" i="43"/>
  <c r="X64" i="43"/>
  <c r="X65" i="43"/>
  <c r="X66" i="43"/>
  <c r="X67" i="43"/>
  <c r="X68" i="43"/>
  <c r="X69" i="43"/>
  <c r="X70" i="43"/>
  <c r="X71" i="43"/>
  <c r="X72" i="43"/>
  <c r="X73" i="43"/>
  <c r="X74" i="43"/>
  <c r="X75" i="43"/>
  <c r="X76" i="43"/>
  <c r="X77" i="43"/>
  <c r="X78" i="43"/>
  <c r="X79" i="43"/>
  <c r="X80" i="43"/>
  <c r="X81" i="43"/>
  <c r="X82" i="43"/>
  <c r="X83" i="43"/>
  <c r="X84" i="43"/>
  <c r="X85" i="43"/>
  <c r="X86" i="43"/>
  <c r="X87" i="43"/>
  <c r="X88" i="43"/>
  <c r="X89" i="43"/>
  <c r="X90" i="43"/>
  <c r="X91" i="43"/>
  <c r="X92" i="43"/>
  <c r="X93" i="43"/>
  <c r="X94" i="43"/>
  <c r="X95" i="43"/>
  <c r="X96" i="43"/>
  <c r="X97" i="43"/>
  <c r="X98" i="43"/>
  <c r="X99" i="43"/>
  <c r="X100" i="43"/>
  <c r="X101" i="43"/>
  <c r="X102" i="43"/>
  <c r="X103" i="43"/>
  <c r="X104" i="43"/>
  <c r="X105" i="43"/>
  <c r="X106" i="43"/>
  <c r="X107" i="43"/>
  <c r="X108" i="43"/>
  <c r="X109" i="43"/>
  <c r="X110" i="43"/>
  <c r="X111" i="43"/>
  <c r="X112" i="43"/>
  <c r="X113" i="43"/>
  <c r="X114" i="43"/>
  <c r="X115" i="43"/>
  <c r="X116" i="43"/>
  <c r="X117" i="43"/>
  <c r="X118" i="43"/>
  <c r="X119" i="43"/>
  <c r="X120" i="43"/>
  <c r="X121" i="43"/>
  <c r="X122" i="43"/>
  <c r="X123" i="43"/>
  <c r="X124" i="43"/>
  <c r="X125" i="43"/>
  <c r="X126" i="43"/>
  <c r="X127" i="43"/>
  <c r="X128" i="43"/>
  <c r="X129" i="43"/>
  <c r="X130" i="43"/>
  <c r="X131" i="43"/>
  <c r="X132" i="43"/>
  <c r="X133" i="43"/>
  <c r="X134" i="43"/>
  <c r="X135" i="43"/>
  <c r="X136" i="43"/>
  <c r="X137" i="43"/>
  <c r="X138" i="43"/>
  <c r="X139" i="43"/>
  <c r="X140" i="43"/>
  <c r="X141" i="43"/>
  <c r="X142" i="43"/>
  <c r="X143" i="43"/>
  <c r="X144" i="43"/>
  <c r="X145" i="43"/>
  <c r="X146" i="43"/>
  <c r="X147" i="43"/>
  <c r="X148" i="43"/>
  <c r="X149" i="43"/>
  <c r="X150" i="43"/>
  <c r="X151" i="43"/>
  <c r="X152" i="43"/>
  <c r="X153" i="43"/>
  <c r="X154" i="43"/>
  <c r="X155" i="43"/>
  <c r="X156" i="43"/>
  <c r="X157" i="43"/>
  <c r="X158" i="43"/>
  <c r="X159" i="43"/>
  <c r="X160" i="43"/>
  <c r="X161" i="43"/>
  <c r="X162" i="43"/>
  <c r="X163" i="43"/>
  <c r="X164" i="43"/>
  <c r="X165" i="43"/>
  <c r="X166" i="43"/>
  <c r="X167" i="43"/>
  <c r="X168" i="43"/>
  <c r="X169" i="43"/>
  <c r="X170" i="43"/>
  <c r="X171" i="43"/>
  <c r="X172" i="43"/>
  <c r="X173" i="43"/>
  <c r="X174" i="43"/>
  <c r="X175" i="43"/>
  <c r="X176" i="43"/>
  <c r="X177" i="43"/>
  <c r="X178" i="43"/>
  <c r="X179" i="43"/>
  <c r="X180" i="43"/>
  <c r="X181" i="43"/>
  <c r="X182" i="43"/>
  <c r="X183" i="43"/>
  <c r="X184" i="43"/>
  <c r="X185" i="43"/>
  <c r="X186" i="43"/>
  <c r="X187" i="43"/>
  <c r="X188" i="43"/>
  <c r="X189" i="43"/>
  <c r="X190" i="43"/>
  <c r="X191" i="43"/>
  <c r="X192" i="43"/>
  <c r="X193" i="43"/>
  <c r="X194" i="43"/>
  <c r="X195" i="43"/>
  <c r="X196" i="43"/>
  <c r="X197" i="43"/>
  <c r="X198" i="43"/>
  <c r="X199" i="43"/>
  <c r="X200" i="43"/>
  <c r="X201" i="43"/>
  <c r="X202" i="43"/>
  <c r="X203" i="43"/>
  <c r="X204" i="43"/>
  <c r="X205" i="43"/>
  <c r="X206" i="43"/>
  <c r="X207" i="43"/>
  <c r="X208" i="43"/>
  <c r="X209" i="43"/>
  <c r="X210" i="43"/>
  <c r="X211" i="43"/>
  <c r="X212" i="43"/>
  <c r="X213" i="43"/>
  <c r="X214" i="43"/>
  <c r="X215" i="43"/>
  <c r="X216" i="43"/>
  <c r="X217" i="43"/>
  <c r="X218" i="43"/>
  <c r="X219" i="43"/>
  <c r="X220" i="43"/>
  <c r="X221" i="43"/>
  <c r="X222" i="43"/>
  <c r="X223" i="43"/>
  <c r="X224" i="43"/>
  <c r="X225" i="43"/>
  <c r="X226" i="43"/>
  <c r="X227" i="43"/>
  <c r="X228" i="43"/>
  <c r="X229" i="43"/>
  <c r="X230" i="43"/>
  <c r="X231" i="43"/>
  <c r="X232" i="43"/>
  <c r="X233" i="43"/>
  <c r="X234" i="43"/>
  <c r="X235" i="43"/>
  <c r="X236" i="43"/>
  <c r="X237" i="43"/>
  <c r="X238" i="43"/>
  <c r="X239" i="43"/>
  <c r="X240" i="43"/>
  <c r="H12" i="43"/>
  <c r="H13" i="43"/>
  <c r="H14" i="43"/>
  <c r="H15" i="43"/>
  <c r="H16" i="43"/>
  <c r="H17" i="43"/>
  <c r="H18" i="43"/>
  <c r="H19" i="43"/>
  <c r="H20" i="43"/>
  <c r="H21" i="43"/>
  <c r="H22" i="43"/>
  <c r="H23" i="43"/>
  <c r="H24" i="43"/>
  <c r="H25" i="43"/>
  <c r="H26" i="43"/>
  <c r="H27" i="43"/>
  <c r="H28" i="43"/>
  <c r="H29" i="43"/>
  <c r="H30" i="43"/>
  <c r="H31" i="43"/>
  <c r="H32" i="43"/>
  <c r="H33" i="43"/>
  <c r="H34" i="43"/>
  <c r="H35" i="43"/>
  <c r="H36" i="43"/>
  <c r="H37" i="43"/>
  <c r="H38" i="43"/>
  <c r="H39" i="43"/>
  <c r="H40" i="43"/>
  <c r="H41" i="43"/>
  <c r="H42" i="43"/>
  <c r="H43" i="43"/>
  <c r="H44" i="43"/>
  <c r="H45" i="43"/>
  <c r="H46" i="43"/>
  <c r="H47" i="43"/>
  <c r="H48" i="43"/>
  <c r="H49" i="43"/>
  <c r="H50" i="43"/>
  <c r="H51" i="43"/>
  <c r="H52" i="43"/>
  <c r="H53" i="43"/>
  <c r="H54" i="43"/>
  <c r="H55" i="43"/>
  <c r="H56" i="43"/>
  <c r="H57" i="43"/>
  <c r="H58" i="43"/>
  <c r="H59" i="43"/>
  <c r="H60" i="43"/>
  <c r="H61" i="43"/>
  <c r="H62" i="43"/>
  <c r="H63" i="43"/>
  <c r="H64" i="43"/>
  <c r="H65" i="43"/>
  <c r="H66" i="43"/>
  <c r="H67" i="43"/>
  <c r="H68" i="43"/>
  <c r="H69" i="43"/>
  <c r="H70" i="43"/>
  <c r="H71" i="43"/>
  <c r="H72" i="43"/>
  <c r="H73" i="43"/>
  <c r="H74" i="43"/>
  <c r="H75" i="43"/>
  <c r="H76" i="43"/>
  <c r="H77" i="43"/>
  <c r="H78" i="43"/>
  <c r="H79" i="43"/>
  <c r="H80" i="43"/>
  <c r="H81" i="43"/>
  <c r="H82" i="43"/>
  <c r="H83" i="43"/>
  <c r="H84" i="43"/>
  <c r="H85" i="43"/>
  <c r="H86" i="43"/>
  <c r="H87" i="43"/>
  <c r="H88" i="43"/>
  <c r="H89" i="43"/>
  <c r="H90" i="43"/>
  <c r="H91" i="43"/>
  <c r="H92" i="43"/>
  <c r="H93" i="43"/>
  <c r="H94" i="43"/>
  <c r="H95" i="43"/>
  <c r="H96" i="43"/>
  <c r="H97" i="43"/>
  <c r="H98" i="43"/>
  <c r="H99" i="43"/>
  <c r="H100" i="43"/>
  <c r="H101" i="43"/>
  <c r="H102" i="43"/>
  <c r="H103" i="43"/>
  <c r="H104" i="43"/>
  <c r="H105" i="43"/>
  <c r="H106" i="43"/>
  <c r="H107" i="43"/>
  <c r="H108" i="43"/>
  <c r="H109" i="43"/>
  <c r="H110" i="43"/>
  <c r="H111" i="43"/>
  <c r="H112" i="43"/>
  <c r="H113" i="43"/>
  <c r="H114" i="43"/>
  <c r="H115" i="43"/>
  <c r="H116" i="43"/>
  <c r="H117" i="43"/>
  <c r="H118" i="43"/>
  <c r="H119" i="43"/>
  <c r="H120" i="43"/>
  <c r="H121" i="43"/>
  <c r="H122" i="43"/>
  <c r="H123" i="43"/>
  <c r="H124" i="43"/>
  <c r="H125" i="43"/>
  <c r="H126" i="43"/>
  <c r="H127" i="43"/>
  <c r="H128" i="43"/>
  <c r="H129" i="43"/>
  <c r="H130" i="43"/>
  <c r="H131" i="43"/>
  <c r="H132" i="43"/>
  <c r="H133" i="43"/>
  <c r="H134" i="43"/>
  <c r="H135" i="43"/>
  <c r="H136" i="43"/>
  <c r="H137" i="43"/>
  <c r="H138" i="43"/>
  <c r="H139" i="43"/>
  <c r="H140" i="43"/>
  <c r="H141" i="43"/>
  <c r="H142" i="43"/>
  <c r="H143" i="43"/>
  <c r="H144" i="43"/>
  <c r="H145" i="43"/>
  <c r="H146" i="43"/>
  <c r="H147" i="43"/>
  <c r="H148" i="43"/>
  <c r="H149" i="43"/>
  <c r="H150" i="43"/>
  <c r="H151" i="43"/>
  <c r="H152" i="43"/>
  <c r="H153" i="43"/>
  <c r="H154" i="43"/>
  <c r="H155" i="43"/>
  <c r="H156" i="43"/>
  <c r="H157" i="43"/>
  <c r="H158" i="43"/>
  <c r="H159" i="43"/>
  <c r="H160" i="43"/>
  <c r="H161" i="43"/>
  <c r="H162" i="43"/>
  <c r="H163" i="43"/>
  <c r="H164" i="43"/>
  <c r="H165" i="43"/>
  <c r="H166" i="43"/>
  <c r="H167" i="43"/>
  <c r="H168" i="43"/>
  <c r="H169" i="43"/>
  <c r="H170" i="43"/>
  <c r="H171" i="43"/>
  <c r="H172" i="43"/>
  <c r="H173" i="43"/>
  <c r="H174" i="43"/>
  <c r="H175" i="43"/>
  <c r="H176" i="43"/>
  <c r="H177" i="43"/>
  <c r="H178" i="43"/>
  <c r="H179" i="43"/>
  <c r="H180" i="43"/>
  <c r="H181" i="43"/>
  <c r="H182" i="43"/>
  <c r="H183" i="43"/>
  <c r="H184" i="43"/>
  <c r="H185" i="43"/>
  <c r="H186" i="43"/>
  <c r="H187" i="43"/>
  <c r="H188" i="43"/>
  <c r="H189" i="43"/>
  <c r="H190" i="43"/>
  <c r="H191" i="43"/>
  <c r="H192" i="43"/>
  <c r="H193" i="43"/>
  <c r="H194" i="43"/>
  <c r="H195" i="43"/>
  <c r="H196" i="43"/>
  <c r="H197" i="43"/>
  <c r="H198" i="43"/>
  <c r="H199" i="43"/>
  <c r="H200" i="43"/>
  <c r="H201" i="43"/>
  <c r="H202" i="43"/>
  <c r="H203" i="43"/>
  <c r="H204" i="43"/>
  <c r="H205" i="43"/>
  <c r="H206" i="43"/>
  <c r="H207" i="43"/>
  <c r="H208" i="43"/>
  <c r="H209" i="43"/>
  <c r="H210" i="43"/>
  <c r="H211" i="43"/>
  <c r="H212" i="43"/>
  <c r="H213" i="43"/>
  <c r="H214" i="43"/>
  <c r="H215" i="43"/>
  <c r="H216" i="43"/>
  <c r="H217" i="43"/>
  <c r="H218" i="43"/>
  <c r="H219" i="43"/>
  <c r="H220" i="43"/>
  <c r="H221" i="43"/>
  <c r="H222" i="43"/>
  <c r="H223" i="43"/>
  <c r="H224" i="43"/>
  <c r="H225" i="43"/>
  <c r="H226" i="43"/>
  <c r="H227" i="43"/>
  <c r="H228" i="43"/>
  <c r="H229" i="43"/>
  <c r="H230" i="43"/>
  <c r="H231" i="43"/>
  <c r="H232" i="43"/>
  <c r="H233" i="43"/>
  <c r="H234" i="43"/>
  <c r="H235" i="43"/>
  <c r="H236" i="43"/>
  <c r="H237" i="43"/>
  <c r="H238" i="43"/>
  <c r="H239" i="43"/>
  <c r="H240" i="43"/>
  <c r="BA6" i="47"/>
  <c r="BA7" i="47"/>
  <c r="BA8" i="47"/>
  <c r="BA9" i="47"/>
  <c r="BA10" i="47"/>
  <c r="BA11" i="47"/>
  <c r="BA12" i="47"/>
  <c r="BA13" i="47"/>
  <c r="BA14" i="47"/>
  <c r="BA15" i="47"/>
  <c r="BA16" i="47"/>
  <c r="BA17" i="47"/>
  <c r="BA18" i="47"/>
  <c r="BA19" i="47"/>
  <c r="BA20" i="47"/>
  <c r="BA21" i="47"/>
  <c r="BA22" i="47"/>
  <c r="BA23" i="47"/>
  <c r="BA24" i="47"/>
  <c r="BA25" i="47"/>
  <c r="BA26" i="47"/>
  <c r="BA27" i="47"/>
  <c r="BA28" i="47"/>
  <c r="BA29" i="47"/>
  <c r="BA30" i="47"/>
  <c r="BA31" i="47"/>
  <c r="BA32" i="47"/>
  <c r="BA33" i="47"/>
  <c r="BA34" i="47"/>
  <c r="BA35" i="47"/>
  <c r="BA36" i="47"/>
  <c r="BA37" i="47"/>
  <c r="BA38" i="47"/>
  <c r="BA39" i="47"/>
  <c r="BA40" i="47"/>
  <c r="BA41" i="47"/>
  <c r="BA42" i="47"/>
  <c r="BA43" i="47"/>
  <c r="BA44" i="47"/>
  <c r="BA45" i="47"/>
  <c r="BA46" i="47"/>
  <c r="BA47" i="47"/>
  <c r="BA48" i="47"/>
  <c r="BA49" i="47"/>
  <c r="BA50" i="47"/>
  <c r="BA51" i="47"/>
  <c r="BA52" i="47"/>
  <c r="BA53" i="47"/>
  <c r="BA54" i="47"/>
  <c r="BA55" i="47"/>
  <c r="BA56" i="47"/>
  <c r="BA57" i="47"/>
  <c r="BA58" i="47"/>
  <c r="BA59" i="47"/>
  <c r="BA60" i="47"/>
  <c r="BA61" i="47"/>
  <c r="BA62" i="47"/>
  <c r="BA63" i="47"/>
  <c r="BA64" i="47"/>
  <c r="BA65" i="47"/>
  <c r="BA66" i="47"/>
  <c r="BA67" i="47"/>
  <c r="BA68" i="47"/>
  <c r="BA69" i="47"/>
  <c r="BA70" i="47"/>
  <c r="BA71" i="47"/>
  <c r="BA72" i="47"/>
  <c r="BA73" i="47"/>
  <c r="BA74" i="47"/>
  <c r="BA75" i="47"/>
  <c r="BA76" i="47"/>
  <c r="BA77" i="47"/>
  <c r="BA78" i="47"/>
  <c r="BA79" i="47"/>
  <c r="BA80" i="47"/>
  <c r="BA81" i="47"/>
  <c r="BA82" i="47"/>
  <c r="BA83" i="47"/>
  <c r="BA84" i="47"/>
  <c r="BA85" i="47"/>
  <c r="BA86" i="47"/>
  <c r="BA87" i="47"/>
  <c r="BA88" i="47"/>
  <c r="BA89" i="47"/>
  <c r="BA90" i="47"/>
  <c r="BA91" i="47"/>
  <c r="BA92" i="47"/>
  <c r="BA93" i="47"/>
  <c r="BA94" i="47"/>
  <c r="BA95" i="47"/>
  <c r="BA96" i="47"/>
  <c r="BA97" i="47"/>
  <c r="BA98" i="47"/>
  <c r="BA99" i="47"/>
  <c r="BA100" i="47"/>
  <c r="BA101" i="47"/>
  <c r="BA102" i="47"/>
  <c r="BA103" i="47"/>
  <c r="BA104" i="47"/>
  <c r="BA105" i="47"/>
  <c r="BA106" i="47"/>
  <c r="BA107" i="47"/>
  <c r="BA108" i="47"/>
  <c r="BA109" i="47"/>
  <c r="BA110" i="47"/>
  <c r="BA111" i="47"/>
  <c r="BA112" i="47"/>
  <c r="BA113" i="47"/>
  <c r="BA114" i="47"/>
  <c r="BA115" i="47"/>
  <c r="BA116" i="47"/>
  <c r="BA117" i="47"/>
  <c r="BA118" i="47"/>
  <c r="BA119" i="47"/>
  <c r="BA120" i="47"/>
  <c r="BA121" i="47"/>
  <c r="BA122" i="47"/>
  <c r="BA123" i="47"/>
  <c r="BA124" i="47"/>
  <c r="BA125" i="47"/>
  <c r="BA126" i="47"/>
  <c r="BA127" i="47"/>
  <c r="BA128" i="47"/>
  <c r="BA129" i="47"/>
  <c r="BA130" i="47"/>
  <c r="BA131" i="47"/>
  <c r="BA132" i="47"/>
  <c r="BA133" i="47"/>
  <c r="BA134" i="47"/>
  <c r="BA135" i="47"/>
  <c r="BA136" i="47"/>
  <c r="BA137" i="47"/>
  <c r="BA138" i="47"/>
  <c r="BA139" i="47"/>
  <c r="BA140" i="47"/>
  <c r="BA141" i="47"/>
  <c r="BA142" i="47"/>
  <c r="BA143" i="47"/>
  <c r="BA144" i="47"/>
  <c r="BA145" i="47"/>
  <c r="BA146" i="47"/>
  <c r="BA147" i="47"/>
  <c r="BA148" i="47"/>
  <c r="BA149" i="47"/>
  <c r="BA150" i="47"/>
  <c r="BA151" i="47"/>
  <c r="BA152" i="47"/>
  <c r="BA153" i="47"/>
  <c r="BA154" i="47"/>
  <c r="BA155" i="47"/>
  <c r="BA156" i="47"/>
  <c r="BA157" i="47"/>
  <c r="BA158" i="47"/>
  <c r="BA159" i="47"/>
  <c r="BA160" i="47"/>
  <c r="BA161" i="47"/>
  <c r="BA162" i="47"/>
  <c r="BA163" i="47"/>
  <c r="BA164" i="47"/>
  <c r="BA165" i="47"/>
  <c r="BA166" i="47"/>
  <c r="BA167" i="47"/>
  <c r="BA168" i="47"/>
  <c r="BA169" i="47"/>
  <c r="BA170" i="47"/>
  <c r="BA171" i="47"/>
  <c r="BA172" i="47"/>
  <c r="BA173" i="47"/>
  <c r="BA174" i="47"/>
  <c r="BA175" i="47"/>
  <c r="BA176" i="47"/>
  <c r="BA177" i="47"/>
  <c r="BA178" i="47"/>
  <c r="BA179" i="47"/>
  <c r="BA180" i="47"/>
  <c r="BA181" i="47"/>
  <c r="BA182" i="47"/>
  <c r="BA183" i="47"/>
  <c r="BA184" i="47"/>
  <c r="BA185" i="47"/>
  <c r="BA186" i="47"/>
  <c r="BA187" i="47"/>
  <c r="BA188" i="47"/>
  <c r="BA189" i="47"/>
  <c r="BA190" i="47"/>
  <c r="BA191" i="47"/>
  <c r="BA192" i="47"/>
  <c r="BA193" i="47"/>
  <c r="BA194" i="47"/>
  <c r="BA195" i="47"/>
  <c r="BA196" i="47"/>
  <c r="BA197" i="47"/>
  <c r="BA198" i="47"/>
  <c r="BA199" i="47"/>
  <c r="BA200" i="47"/>
  <c r="BA201" i="47"/>
  <c r="BA202" i="47"/>
  <c r="BA203" i="47"/>
  <c r="BA204" i="47"/>
  <c r="BA205" i="47"/>
  <c r="BA206" i="47"/>
  <c r="BA207" i="47"/>
  <c r="BA208" i="47"/>
  <c r="BA209" i="47"/>
  <c r="BA210" i="47"/>
  <c r="BA211" i="47"/>
  <c r="BA212" i="47"/>
  <c r="BA213" i="47"/>
  <c r="BA214" i="47"/>
  <c r="BA215" i="47"/>
  <c r="BA216" i="47"/>
  <c r="BA217" i="47"/>
  <c r="BA218" i="47"/>
  <c r="BA219" i="47"/>
  <c r="BA220" i="47"/>
  <c r="BA221" i="47"/>
  <c r="BA222" i="47"/>
  <c r="BA223" i="47"/>
  <c r="BA224" i="47"/>
  <c r="BA225" i="47"/>
  <c r="BA226" i="47"/>
  <c r="BA227" i="47"/>
  <c r="BA228" i="47"/>
  <c r="BA229" i="47"/>
  <c r="BA230" i="47"/>
  <c r="BA231" i="47"/>
  <c r="BA232" i="47"/>
  <c r="BA233" i="47"/>
  <c r="BA234" i="47"/>
  <c r="BA235" i="47"/>
  <c r="BA236" i="47"/>
  <c r="BA237" i="47"/>
  <c r="BA238" i="47"/>
  <c r="BA239" i="47"/>
  <c r="BA240" i="47"/>
  <c r="BA241" i="47"/>
  <c r="BA242" i="47"/>
  <c r="BA243" i="47"/>
  <c r="BA244" i="47"/>
  <c r="BA245" i="47"/>
  <c r="BA246" i="47"/>
  <c r="BA247" i="47"/>
  <c r="BA248" i="47"/>
  <c r="BA249" i="47"/>
  <c r="BA250" i="47"/>
  <c r="BA251" i="47"/>
  <c r="BA252" i="47"/>
  <c r="BA253" i="47"/>
  <c r="BA254" i="47"/>
  <c r="BA255" i="47"/>
  <c r="BA256" i="47"/>
  <c r="BA257" i="47"/>
  <c r="BA258" i="47"/>
  <c r="BA259" i="47"/>
  <c r="BA260" i="47"/>
  <c r="BA261" i="47"/>
  <c r="BA262" i="47"/>
  <c r="BA263" i="47"/>
  <c r="BA264" i="47"/>
  <c r="BA265" i="47"/>
  <c r="BA266" i="47"/>
  <c r="BA267" i="47"/>
  <c r="BA268" i="47"/>
  <c r="BA269" i="47"/>
  <c r="BA270" i="47"/>
  <c r="BA271" i="47"/>
  <c r="BA272" i="47"/>
  <c r="BA273" i="47"/>
  <c r="BA274" i="47"/>
  <c r="BA275" i="47"/>
  <c r="BA276" i="47"/>
  <c r="BA277" i="47"/>
  <c r="BA278" i="47"/>
  <c r="BA279" i="47"/>
  <c r="BA280" i="47"/>
  <c r="AN9" i="47"/>
  <c r="AN10" i="47"/>
  <c r="AN11" i="47"/>
  <c r="AN12" i="47"/>
  <c r="AN13" i="47"/>
  <c r="AN14" i="47"/>
  <c r="AN15" i="47"/>
  <c r="AN16" i="47"/>
  <c r="AN17" i="47"/>
  <c r="AN18" i="47"/>
  <c r="AN19" i="47"/>
  <c r="AN20" i="47"/>
  <c r="AN21" i="47"/>
  <c r="AN22" i="47"/>
  <c r="AN23" i="47"/>
  <c r="AN24" i="47"/>
  <c r="AN25" i="47"/>
  <c r="AN26" i="47"/>
  <c r="AN27" i="47"/>
  <c r="AN28" i="47"/>
  <c r="AN29" i="47"/>
  <c r="AN30" i="47"/>
  <c r="AN31" i="47"/>
  <c r="AN32" i="47"/>
  <c r="AN33" i="47"/>
  <c r="AN34" i="47"/>
  <c r="AN35" i="47"/>
  <c r="AN36" i="47"/>
  <c r="AN37" i="47"/>
  <c r="AN38" i="47"/>
  <c r="AN39" i="47"/>
  <c r="AN40" i="47"/>
  <c r="AN41" i="47"/>
  <c r="AN42" i="47"/>
  <c r="AN43" i="47"/>
  <c r="AN44" i="47"/>
  <c r="AN45" i="47"/>
  <c r="AN46" i="47"/>
  <c r="AN47" i="47"/>
  <c r="AN48" i="47"/>
  <c r="AN49" i="47"/>
  <c r="AN50" i="47"/>
  <c r="AN51" i="47"/>
  <c r="AN52" i="47"/>
  <c r="AN53" i="47"/>
  <c r="AN54" i="47"/>
  <c r="AN55" i="47"/>
  <c r="AN56" i="47"/>
  <c r="AN57" i="47"/>
  <c r="AN58" i="47"/>
  <c r="AN59" i="47"/>
  <c r="AN60" i="47"/>
  <c r="AN61" i="47"/>
  <c r="AN62" i="47"/>
  <c r="AN63" i="47"/>
  <c r="AN64" i="47"/>
  <c r="AN65" i="47"/>
  <c r="AN66" i="47"/>
  <c r="AN67" i="47"/>
  <c r="AN68" i="47"/>
  <c r="AN69" i="47"/>
  <c r="AN70" i="47"/>
  <c r="AN71" i="47"/>
  <c r="AN72" i="47"/>
  <c r="AN73" i="47"/>
  <c r="AN74" i="47"/>
  <c r="AN75" i="47"/>
  <c r="AN76" i="47"/>
  <c r="AN77" i="47"/>
  <c r="AN78" i="47"/>
  <c r="AN79" i="47"/>
  <c r="AN80" i="47"/>
  <c r="AN81" i="47"/>
  <c r="AN82" i="47"/>
  <c r="AN83" i="47"/>
  <c r="AN84" i="47"/>
  <c r="AN85" i="47"/>
  <c r="AN86" i="47"/>
  <c r="AN87" i="47"/>
  <c r="AN88" i="47"/>
  <c r="AN89" i="47"/>
  <c r="AN90" i="47"/>
  <c r="AN91" i="47"/>
  <c r="AN92" i="47"/>
  <c r="AN93" i="47"/>
  <c r="AN94" i="47"/>
  <c r="AN95" i="47"/>
  <c r="AN96" i="47"/>
  <c r="AN97" i="47"/>
  <c r="AN98" i="47"/>
  <c r="AN99" i="47"/>
  <c r="AN100" i="47"/>
  <c r="AN101" i="47"/>
  <c r="AN102" i="47"/>
  <c r="AN103" i="47"/>
  <c r="AN104" i="47"/>
  <c r="AN105" i="47"/>
  <c r="AN106" i="47"/>
  <c r="AN107" i="47"/>
  <c r="AN108" i="47"/>
  <c r="AN109" i="47"/>
  <c r="AN110" i="47"/>
  <c r="AN111" i="47"/>
  <c r="AN112" i="47"/>
  <c r="AN113" i="47"/>
  <c r="AN114" i="47"/>
  <c r="AN115" i="47"/>
  <c r="AN116" i="47"/>
  <c r="AN117" i="47"/>
  <c r="AN118" i="47"/>
  <c r="AN119" i="47"/>
  <c r="AN120" i="47"/>
  <c r="AN121" i="47"/>
  <c r="AN122" i="47"/>
  <c r="AN123" i="47"/>
  <c r="AN124" i="47"/>
  <c r="AN125" i="47"/>
  <c r="AN126" i="47"/>
  <c r="AN127" i="47"/>
  <c r="AN128" i="47"/>
  <c r="AN129" i="47"/>
  <c r="AN130" i="47"/>
  <c r="AN131" i="47"/>
  <c r="AN132" i="47"/>
  <c r="AN133" i="47"/>
  <c r="AN134" i="47"/>
  <c r="AN135" i="47"/>
  <c r="AN136" i="47"/>
  <c r="AN137" i="47"/>
  <c r="AN138" i="47"/>
  <c r="AN139" i="47"/>
  <c r="AN140" i="47"/>
  <c r="AN141" i="47"/>
  <c r="AN142" i="47"/>
  <c r="AN143" i="47"/>
  <c r="AN144" i="47"/>
  <c r="AN145" i="47"/>
  <c r="AN146" i="47"/>
  <c r="AN147" i="47"/>
  <c r="AN148" i="47"/>
  <c r="AN149" i="47"/>
  <c r="AN150" i="47"/>
  <c r="AN151" i="47"/>
  <c r="AN152" i="47"/>
  <c r="AN153" i="47"/>
  <c r="AN154" i="47"/>
  <c r="AN155" i="47"/>
  <c r="AN156" i="47"/>
  <c r="AN157" i="47"/>
  <c r="AN158" i="47"/>
  <c r="AN159" i="47"/>
  <c r="AN160" i="47"/>
  <c r="AN161" i="47"/>
  <c r="AN162" i="47"/>
  <c r="AN163" i="47"/>
  <c r="AN164" i="47"/>
  <c r="AN165" i="47"/>
  <c r="AN166" i="47"/>
  <c r="AN167" i="47"/>
  <c r="AN168" i="47"/>
  <c r="AN169" i="47"/>
  <c r="AN170" i="47"/>
  <c r="AN171" i="47"/>
  <c r="AN172" i="47"/>
  <c r="AN173" i="47"/>
  <c r="AN174" i="47"/>
  <c r="AN175" i="47"/>
  <c r="AN176" i="47"/>
  <c r="AN177" i="47"/>
  <c r="AN178" i="47"/>
  <c r="AN179" i="47"/>
  <c r="AN180" i="47"/>
  <c r="AN181" i="47"/>
  <c r="AN182" i="47"/>
  <c r="AN183" i="47"/>
  <c r="AN184" i="47"/>
  <c r="AN185" i="47"/>
  <c r="AN186" i="47"/>
  <c r="AN187" i="47"/>
  <c r="AN188" i="47"/>
  <c r="AN189" i="47"/>
  <c r="AN190" i="47"/>
  <c r="AN191" i="47"/>
  <c r="AN192" i="47"/>
  <c r="AN193" i="47"/>
  <c r="AN194" i="47"/>
  <c r="AN195" i="47"/>
  <c r="AN196" i="47"/>
  <c r="AN197" i="47"/>
  <c r="AN198" i="47"/>
  <c r="AN199" i="47"/>
  <c r="AN200" i="47"/>
  <c r="AN201" i="47"/>
  <c r="AN202" i="47"/>
  <c r="AN203" i="47"/>
  <c r="AN204" i="47"/>
  <c r="AN205" i="47"/>
  <c r="AN206" i="47"/>
  <c r="AN207" i="47"/>
  <c r="AN208" i="47"/>
  <c r="AN209" i="47"/>
  <c r="AN210" i="47"/>
  <c r="AN211" i="47"/>
  <c r="AN212" i="47"/>
  <c r="AN213" i="47"/>
  <c r="AN214" i="47"/>
  <c r="AN215" i="47"/>
  <c r="AN216" i="47"/>
  <c r="AN217" i="47"/>
  <c r="AN218" i="47"/>
  <c r="AN219" i="47"/>
  <c r="AN220" i="47"/>
  <c r="AN221" i="47"/>
  <c r="AN222" i="47"/>
  <c r="AN223" i="47"/>
  <c r="AN224" i="47"/>
  <c r="AN225" i="47"/>
  <c r="AN226" i="47"/>
  <c r="AN227" i="47"/>
  <c r="AN228" i="47"/>
  <c r="AN229" i="47"/>
  <c r="AN230" i="47"/>
  <c r="AN231" i="47"/>
  <c r="AN232" i="47"/>
  <c r="AN233" i="47"/>
  <c r="AN234" i="47"/>
  <c r="AN235" i="47"/>
  <c r="AN236" i="47"/>
  <c r="AN237" i="47"/>
  <c r="AN238" i="47"/>
  <c r="AN239" i="47"/>
  <c r="AN240" i="47"/>
  <c r="AN241" i="47"/>
  <c r="AN242" i="47"/>
  <c r="AN243" i="47"/>
  <c r="AN244" i="47"/>
  <c r="AN245" i="47"/>
  <c r="AN246" i="47"/>
  <c r="AN247" i="47"/>
  <c r="AN248" i="47"/>
  <c r="AN249" i="47"/>
  <c r="AN250" i="47"/>
  <c r="AN251" i="47"/>
  <c r="AN252" i="47"/>
  <c r="AN253" i="47"/>
  <c r="AN254" i="47"/>
  <c r="AN255" i="47"/>
  <c r="AN256" i="47"/>
  <c r="AN257" i="47"/>
  <c r="AN258" i="47"/>
  <c r="AN259" i="47"/>
  <c r="AN260" i="47"/>
  <c r="AN261" i="47"/>
  <c r="AN262" i="47"/>
  <c r="AN263" i="47"/>
  <c r="AN264" i="47"/>
  <c r="AN265" i="47"/>
  <c r="AN266" i="47"/>
  <c r="AN267" i="47"/>
  <c r="AN268" i="47"/>
  <c r="AN269" i="47"/>
  <c r="AN270" i="47"/>
  <c r="AN271" i="47"/>
  <c r="AN272" i="47"/>
  <c r="AN273" i="47"/>
  <c r="AN274" i="47"/>
  <c r="AN275" i="47"/>
  <c r="AN276" i="47"/>
  <c r="AN277" i="47"/>
  <c r="AN278" i="47"/>
  <c r="AN279" i="47"/>
  <c r="AN280" i="47"/>
  <c r="X9" i="47"/>
  <c r="X10" i="47"/>
  <c r="X11" i="47"/>
  <c r="X12" i="47"/>
  <c r="X13" i="47"/>
  <c r="X14" i="47"/>
  <c r="X15" i="47"/>
  <c r="X16" i="47"/>
  <c r="X17" i="47"/>
  <c r="X18" i="47"/>
  <c r="X19" i="47"/>
  <c r="X20" i="47"/>
  <c r="X21" i="47"/>
  <c r="X22" i="47"/>
  <c r="X23" i="47"/>
  <c r="X24" i="47"/>
  <c r="X25" i="47"/>
  <c r="X26" i="47"/>
  <c r="X27" i="47"/>
  <c r="X28" i="47"/>
  <c r="X29" i="47"/>
  <c r="X30" i="47"/>
  <c r="X31" i="47"/>
  <c r="X32" i="47"/>
  <c r="X33" i="47"/>
  <c r="X34" i="47"/>
  <c r="X35" i="47"/>
  <c r="X36" i="47"/>
  <c r="X37" i="47"/>
  <c r="X38" i="47"/>
  <c r="X39" i="47"/>
  <c r="X40" i="47"/>
  <c r="X41" i="47"/>
  <c r="X42" i="47"/>
  <c r="X43" i="47"/>
  <c r="X44" i="47"/>
  <c r="X45" i="47"/>
  <c r="X46" i="47"/>
  <c r="X47" i="47"/>
  <c r="X48" i="47"/>
  <c r="X49" i="47"/>
  <c r="X50" i="47"/>
  <c r="X51" i="47"/>
  <c r="X52" i="47"/>
  <c r="X53" i="47"/>
  <c r="X54" i="47"/>
  <c r="X55" i="47"/>
  <c r="X56" i="47"/>
  <c r="X57" i="47"/>
  <c r="X58" i="47"/>
  <c r="X59" i="47"/>
  <c r="X60" i="47"/>
  <c r="X61" i="47"/>
  <c r="X62" i="47"/>
  <c r="X63" i="47"/>
  <c r="X64" i="47"/>
  <c r="X65" i="47"/>
  <c r="X66" i="47"/>
  <c r="X67" i="47"/>
  <c r="X68" i="47"/>
  <c r="X69" i="47"/>
  <c r="X70" i="47"/>
  <c r="X71" i="47"/>
  <c r="X72" i="47"/>
  <c r="X73" i="47"/>
  <c r="X74" i="47"/>
  <c r="X75" i="47"/>
  <c r="X76" i="47"/>
  <c r="X77" i="47"/>
  <c r="X78" i="47"/>
  <c r="X79" i="47"/>
  <c r="X80" i="47"/>
  <c r="X81" i="47"/>
  <c r="X82" i="47"/>
  <c r="X83" i="47"/>
  <c r="X84" i="47"/>
  <c r="X85" i="47"/>
  <c r="X86" i="47"/>
  <c r="X87" i="47"/>
  <c r="X88" i="47"/>
  <c r="X89" i="47"/>
  <c r="X90" i="47"/>
  <c r="X91" i="47"/>
  <c r="X92" i="47"/>
  <c r="X93" i="47"/>
  <c r="X94" i="47"/>
  <c r="X95" i="47"/>
  <c r="X96" i="47"/>
  <c r="X97" i="47"/>
  <c r="X98" i="47"/>
  <c r="X99" i="47"/>
  <c r="X100" i="47"/>
  <c r="X101" i="47"/>
  <c r="X102" i="47"/>
  <c r="X103" i="47"/>
  <c r="X104" i="47"/>
  <c r="X105" i="47"/>
  <c r="X106" i="47"/>
  <c r="X107" i="47"/>
  <c r="X108" i="47"/>
  <c r="X109" i="47"/>
  <c r="X110" i="47"/>
  <c r="X111" i="47"/>
  <c r="X112" i="47"/>
  <c r="X113" i="47"/>
  <c r="X114" i="47"/>
  <c r="X115" i="47"/>
  <c r="X116" i="47"/>
  <c r="X117" i="47"/>
  <c r="X118" i="47"/>
  <c r="X119" i="47"/>
  <c r="X120" i="47"/>
  <c r="X121" i="47"/>
  <c r="X122" i="47"/>
  <c r="X123" i="47"/>
  <c r="X124" i="47"/>
  <c r="X125" i="47"/>
  <c r="X126" i="47"/>
  <c r="X127" i="47"/>
  <c r="X128" i="47"/>
  <c r="X129" i="47"/>
  <c r="X130" i="47"/>
  <c r="X131" i="47"/>
  <c r="X132" i="47"/>
  <c r="X133" i="47"/>
  <c r="X134" i="47"/>
  <c r="X135" i="47"/>
  <c r="X136" i="47"/>
  <c r="X137" i="47"/>
  <c r="X138" i="47"/>
  <c r="X139" i="47"/>
  <c r="X140" i="47"/>
  <c r="X141" i="47"/>
  <c r="X142" i="47"/>
  <c r="X143" i="47"/>
  <c r="X144" i="47"/>
  <c r="X145" i="47"/>
  <c r="X146" i="47"/>
  <c r="X147" i="47"/>
  <c r="X148" i="47"/>
  <c r="X149" i="47"/>
  <c r="X150" i="47"/>
  <c r="X151" i="47"/>
  <c r="X152" i="47"/>
  <c r="X153" i="47"/>
  <c r="X154" i="47"/>
  <c r="X155" i="47"/>
  <c r="X156" i="47"/>
  <c r="X157" i="47"/>
  <c r="X158" i="47"/>
  <c r="X159" i="47"/>
  <c r="X160" i="47"/>
  <c r="X161" i="47"/>
  <c r="X162" i="47"/>
  <c r="X163" i="47"/>
  <c r="X164" i="47"/>
  <c r="X165" i="47"/>
  <c r="X166" i="47"/>
  <c r="X167" i="47"/>
  <c r="X168" i="47"/>
  <c r="X169" i="47"/>
  <c r="X170" i="47"/>
  <c r="X171" i="47"/>
  <c r="X172" i="47"/>
  <c r="X173" i="47"/>
  <c r="X174" i="47"/>
  <c r="X175" i="47"/>
  <c r="X176" i="47"/>
  <c r="X177" i="47"/>
  <c r="X178" i="47"/>
  <c r="X179" i="47"/>
  <c r="X180" i="47"/>
  <c r="X181" i="47"/>
  <c r="X182" i="47"/>
  <c r="X183" i="47"/>
  <c r="X184" i="47"/>
  <c r="X185" i="47"/>
  <c r="X186" i="47"/>
  <c r="X187" i="47"/>
  <c r="X188" i="47"/>
  <c r="X189" i="47"/>
  <c r="X190" i="47"/>
  <c r="X191" i="47"/>
  <c r="X192" i="47"/>
  <c r="X193" i="47"/>
  <c r="X194" i="47"/>
  <c r="X195" i="47"/>
  <c r="X196" i="47"/>
  <c r="X197" i="47"/>
  <c r="X198" i="47"/>
  <c r="X199" i="47"/>
  <c r="X200" i="47"/>
  <c r="X201" i="47"/>
  <c r="X202" i="47"/>
  <c r="X203" i="47"/>
  <c r="X204" i="47"/>
  <c r="X205" i="47"/>
  <c r="X206" i="47"/>
  <c r="X207" i="47"/>
  <c r="X208" i="47"/>
  <c r="X209" i="47"/>
  <c r="X210" i="47"/>
  <c r="X211" i="47"/>
  <c r="X212" i="47"/>
  <c r="X213" i="47"/>
  <c r="X214" i="47"/>
  <c r="X215" i="47"/>
  <c r="X216" i="47"/>
  <c r="X217" i="47"/>
  <c r="X218" i="47"/>
  <c r="X219" i="47"/>
  <c r="X220" i="47"/>
  <c r="X221" i="47"/>
  <c r="X222" i="47"/>
  <c r="X223" i="47"/>
  <c r="X224" i="47"/>
  <c r="X225" i="47"/>
  <c r="X226" i="47"/>
  <c r="X227" i="47"/>
  <c r="X228" i="47"/>
  <c r="X229" i="47"/>
  <c r="X230" i="47"/>
  <c r="X231" i="47"/>
  <c r="X232" i="47"/>
  <c r="X233" i="47"/>
  <c r="X234" i="47"/>
  <c r="X235" i="47"/>
  <c r="X236" i="47"/>
  <c r="X237" i="47"/>
  <c r="X238" i="47"/>
  <c r="X239" i="47"/>
  <c r="X240" i="47"/>
  <c r="X241" i="47"/>
  <c r="X242" i="47"/>
  <c r="X243" i="47"/>
  <c r="X244" i="47"/>
  <c r="X245" i="47"/>
  <c r="X246" i="47"/>
  <c r="X247" i="47"/>
  <c r="X248" i="47"/>
  <c r="X249" i="47"/>
  <c r="X250" i="47"/>
  <c r="X251" i="47"/>
  <c r="X252" i="47"/>
  <c r="X253" i="47"/>
  <c r="X254" i="47"/>
  <c r="X255" i="47"/>
  <c r="X256" i="47"/>
  <c r="X257" i="47"/>
  <c r="X258" i="47"/>
  <c r="X259" i="47"/>
  <c r="X260" i="47"/>
  <c r="X261" i="47"/>
  <c r="X262" i="47"/>
  <c r="X263" i="47"/>
  <c r="X264" i="47"/>
  <c r="X265" i="47"/>
  <c r="X266" i="47"/>
  <c r="X267" i="47"/>
  <c r="X268" i="47"/>
  <c r="X269" i="47"/>
  <c r="X270" i="47"/>
  <c r="X271" i="47"/>
  <c r="X272" i="47"/>
  <c r="X273" i="47"/>
  <c r="X274" i="47"/>
  <c r="X275" i="47"/>
  <c r="X276" i="47"/>
  <c r="X277" i="47"/>
  <c r="X278" i="47"/>
  <c r="X279" i="47"/>
  <c r="X280" i="47"/>
  <c r="H12" i="47"/>
  <c r="H13" i="47"/>
  <c r="H14" i="47"/>
  <c r="H15" i="47"/>
  <c r="H16" i="47"/>
  <c r="H17" i="47"/>
  <c r="H18" i="47"/>
  <c r="H19" i="47"/>
  <c r="H20" i="47"/>
  <c r="H21" i="47"/>
  <c r="H22" i="47"/>
  <c r="H23" i="47"/>
  <c r="H24" i="47"/>
  <c r="H25" i="47"/>
  <c r="H26" i="47"/>
  <c r="H27" i="47"/>
  <c r="H28" i="47"/>
  <c r="H29" i="47"/>
  <c r="H30" i="47"/>
  <c r="H31" i="47"/>
  <c r="H32" i="47"/>
  <c r="H33" i="47"/>
  <c r="H34" i="47"/>
  <c r="H35" i="47"/>
  <c r="H36" i="47"/>
  <c r="H37" i="47"/>
  <c r="H38" i="47"/>
  <c r="H39" i="47"/>
  <c r="H40" i="47"/>
  <c r="H41" i="47"/>
  <c r="H42" i="47"/>
  <c r="H43" i="47"/>
  <c r="H44" i="47"/>
  <c r="H45" i="47"/>
  <c r="H46" i="47"/>
  <c r="H47" i="47"/>
  <c r="H48" i="47"/>
  <c r="H49" i="47"/>
  <c r="H50" i="47"/>
  <c r="H51" i="47"/>
  <c r="H52" i="47"/>
  <c r="H53" i="47"/>
  <c r="H54" i="47"/>
  <c r="H55" i="47"/>
  <c r="H56" i="47"/>
  <c r="H57" i="47"/>
  <c r="H58" i="47"/>
  <c r="H59" i="47"/>
  <c r="H60" i="47"/>
  <c r="H61" i="47"/>
  <c r="H62" i="47"/>
  <c r="H63" i="47"/>
  <c r="H64" i="47"/>
  <c r="H65" i="47"/>
  <c r="H66" i="47"/>
  <c r="H67" i="47"/>
  <c r="H68" i="47"/>
  <c r="H69" i="47"/>
  <c r="H70" i="47"/>
  <c r="H71" i="47"/>
  <c r="H72" i="47"/>
  <c r="H73" i="47"/>
  <c r="H74" i="47"/>
  <c r="H75" i="47"/>
  <c r="H76" i="47"/>
  <c r="H77" i="47"/>
  <c r="H78" i="47"/>
  <c r="H79" i="47"/>
  <c r="H80" i="47"/>
  <c r="H81" i="47"/>
  <c r="H82" i="47"/>
  <c r="H83" i="47"/>
  <c r="H84" i="47"/>
  <c r="H85" i="47"/>
  <c r="H86" i="47"/>
  <c r="H87" i="47"/>
  <c r="H88" i="47"/>
  <c r="H89" i="47"/>
  <c r="H90" i="47"/>
  <c r="H91" i="47"/>
  <c r="H92" i="47"/>
  <c r="H93" i="47"/>
  <c r="H94" i="47"/>
  <c r="H95" i="47"/>
  <c r="H96" i="47"/>
  <c r="H97" i="47"/>
  <c r="H98" i="47"/>
  <c r="H99" i="47"/>
  <c r="H100" i="47"/>
  <c r="H101" i="47"/>
  <c r="H102" i="47"/>
  <c r="H103" i="47"/>
  <c r="H104" i="47"/>
  <c r="H105" i="47"/>
  <c r="H106" i="47"/>
  <c r="H107" i="47"/>
  <c r="H108" i="47"/>
  <c r="H109" i="47"/>
  <c r="H110" i="47"/>
  <c r="H111" i="47"/>
  <c r="H112" i="47"/>
  <c r="H113" i="47"/>
  <c r="H114" i="47"/>
  <c r="H115" i="47"/>
  <c r="H116" i="47"/>
  <c r="H117" i="47"/>
  <c r="H118" i="47"/>
  <c r="H119" i="47"/>
  <c r="H120" i="47"/>
  <c r="H121" i="47"/>
  <c r="H122" i="47"/>
  <c r="H123" i="47"/>
  <c r="H124" i="47"/>
  <c r="H125" i="47"/>
  <c r="H126" i="47"/>
  <c r="H127" i="47"/>
  <c r="H128" i="47"/>
  <c r="H129" i="47"/>
  <c r="H130" i="47"/>
  <c r="H131" i="47"/>
  <c r="H132" i="47"/>
  <c r="H133" i="47"/>
  <c r="H134" i="47"/>
  <c r="H135" i="47"/>
  <c r="H136" i="47"/>
  <c r="H137" i="47"/>
  <c r="H138" i="47"/>
  <c r="H139" i="47"/>
  <c r="H140" i="47"/>
  <c r="H141" i="47"/>
  <c r="H142" i="47"/>
  <c r="H143" i="47"/>
  <c r="H144" i="47"/>
  <c r="H145" i="47"/>
  <c r="H146" i="47"/>
  <c r="H147" i="47"/>
  <c r="H148" i="47"/>
  <c r="H149" i="47"/>
  <c r="H150" i="47"/>
  <c r="H151" i="47"/>
  <c r="H152" i="47"/>
  <c r="H153" i="47"/>
  <c r="H154" i="47"/>
  <c r="H155" i="47"/>
  <c r="H156" i="47"/>
  <c r="H157" i="47"/>
  <c r="H158" i="47"/>
  <c r="H159" i="47"/>
  <c r="H160" i="47"/>
  <c r="H161" i="47"/>
  <c r="H162" i="47"/>
  <c r="H163" i="47"/>
  <c r="H164" i="47"/>
  <c r="H165" i="47"/>
  <c r="H166" i="47"/>
  <c r="H167" i="47"/>
  <c r="H168" i="47"/>
  <c r="H169" i="47"/>
  <c r="H170" i="47"/>
  <c r="H171" i="47"/>
  <c r="H172" i="47"/>
  <c r="H173" i="47"/>
  <c r="H174" i="47"/>
  <c r="H175" i="47"/>
  <c r="H176" i="47"/>
  <c r="H177" i="47"/>
  <c r="H178" i="47"/>
  <c r="H179" i="47"/>
  <c r="H180" i="47"/>
  <c r="H181" i="47"/>
  <c r="H182" i="47"/>
  <c r="H183" i="47"/>
  <c r="H184" i="47"/>
  <c r="H185" i="47"/>
  <c r="H186" i="47"/>
  <c r="H187" i="47"/>
  <c r="H188" i="47"/>
  <c r="H189" i="47"/>
  <c r="H190" i="47"/>
  <c r="H191" i="47"/>
  <c r="H192" i="47"/>
  <c r="H193" i="47"/>
  <c r="H194" i="47"/>
  <c r="H195" i="47"/>
  <c r="H196" i="47"/>
  <c r="H197" i="47"/>
  <c r="H198" i="47"/>
  <c r="H199" i="47"/>
  <c r="H200" i="47"/>
  <c r="H201" i="47"/>
  <c r="H202" i="47"/>
  <c r="H203" i="47"/>
  <c r="H204" i="47"/>
  <c r="H205" i="47"/>
  <c r="H206" i="47"/>
  <c r="H207" i="47"/>
  <c r="H208" i="47"/>
  <c r="H209" i="47"/>
  <c r="H210" i="47"/>
  <c r="H211" i="47"/>
  <c r="H212" i="47"/>
  <c r="H213" i="47"/>
  <c r="H214" i="47"/>
  <c r="H215" i="47"/>
  <c r="H216" i="47"/>
  <c r="H217" i="47"/>
  <c r="H218" i="47"/>
  <c r="H219" i="47"/>
  <c r="H220" i="47"/>
  <c r="H221" i="47"/>
  <c r="H222" i="47"/>
  <c r="H223" i="47"/>
  <c r="H224" i="47"/>
  <c r="H225" i="47"/>
  <c r="H226" i="47"/>
  <c r="H227" i="47"/>
  <c r="H228" i="47"/>
  <c r="H229" i="47"/>
  <c r="H230" i="47"/>
  <c r="H231" i="47"/>
  <c r="H232" i="47"/>
  <c r="H233" i="47"/>
  <c r="H234" i="47"/>
  <c r="H235" i="47"/>
  <c r="H236" i="47"/>
  <c r="H237" i="47"/>
  <c r="H238" i="47"/>
  <c r="H239" i="47"/>
  <c r="H240" i="47"/>
  <c r="H241" i="47"/>
  <c r="H242" i="47"/>
  <c r="H243" i="47"/>
  <c r="H244" i="47"/>
  <c r="H245" i="47"/>
  <c r="H246" i="47"/>
  <c r="H247" i="47"/>
  <c r="H248" i="47"/>
  <c r="H249" i="47"/>
  <c r="H250" i="47"/>
  <c r="H251" i="47"/>
  <c r="H252" i="47"/>
  <c r="H253" i="47"/>
  <c r="H254" i="47"/>
  <c r="H255" i="47"/>
  <c r="H256" i="47"/>
  <c r="H257" i="47"/>
  <c r="H258" i="47"/>
  <c r="H259" i="47"/>
  <c r="H260" i="47"/>
  <c r="H261" i="47"/>
  <c r="H262" i="47"/>
  <c r="H263" i="47"/>
  <c r="H264" i="47"/>
  <c r="H265" i="47"/>
  <c r="H266" i="47"/>
  <c r="H267" i="47"/>
  <c r="H268" i="47"/>
  <c r="H269" i="47"/>
  <c r="H270" i="47"/>
  <c r="H271" i="47"/>
  <c r="H272" i="47"/>
  <c r="H273" i="47"/>
  <c r="H274" i="47"/>
  <c r="H275" i="47"/>
  <c r="H276" i="47"/>
  <c r="H277" i="47"/>
  <c r="H278" i="47"/>
  <c r="H279" i="47"/>
  <c r="H280" i="47"/>
  <c r="BQ6" i="49"/>
  <c r="BQ7" i="49"/>
  <c r="BQ8" i="49"/>
  <c r="BQ9" i="49"/>
  <c r="BQ10" i="49"/>
  <c r="BQ11" i="49"/>
  <c r="BQ12" i="49"/>
  <c r="BQ13" i="49"/>
  <c r="BQ14" i="49"/>
  <c r="BQ15" i="49"/>
  <c r="BQ16" i="49"/>
  <c r="BQ17" i="49"/>
  <c r="BQ18" i="49"/>
  <c r="BQ19" i="49"/>
  <c r="BQ20" i="49"/>
  <c r="BQ21" i="49"/>
  <c r="BQ22" i="49"/>
  <c r="BQ23" i="49"/>
  <c r="BQ24" i="49"/>
  <c r="BQ25" i="49"/>
  <c r="BQ26" i="49"/>
  <c r="BQ27" i="49"/>
  <c r="BQ28" i="49"/>
  <c r="BQ29" i="49"/>
  <c r="BQ30" i="49"/>
  <c r="BQ31" i="49"/>
  <c r="BQ32" i="49"/>
  <c r="BQ33" i="49"/>
  <c r="BQ34" i="49"/>
  <c r="BQ35" i="49"/>
  <c r="BQ36" i="49"/>
  <c r="BQ37" i="49"/>
  <c r="BQ38" i="49"/>
  <c r="BQ39" i="49"/>
  <c r="BQ40" i="49"/>
  <c r="BQ41" i="49"/>
  <c r="BQ42" i="49"/>
  <c r="BQ43" i="49"/>
  <c r="BQ44" i="49"/>
  <c r="BQ45" i="49"/>
  <c r="BQ46" i="49"/>
  <c r="BQ47" i="49"/>
  <c r="BQ48" i="49"/>
  <c r="BQ49" i="49"/>
  <c r="BQ50" i="49"/>
  <c r="BQ51" i="49"/>
  <c r="BQ52" i="49"/>
  <c r="BQ53" i="49"/>
  <c r="BQ54" i="49"/>
  <c r="BQ55" i="49"/>
  <c r="BQ56" i="49"/>
  <c r="BQ57" i="49"/>
  <c r="BQ58" i="49"/>
  <c r="BQ59" i="49"/>
  <c r="BQ60" i="49"/>
  <c r="BQ61" i="49"/>
  <c r="BQ62" i="49"/>
  <c r="BQ63" i="49"/>
  <c r="BQ64" i="49"/>
  <c r="BQ65" i="49"/>
  <c r="BQ66" i="49"/>
  <c r="BQ67" i="49"/>
  <c r="BQ68" i="49"/>
  <c r="BQ69" i="49"/>
  <c r="BQ70" i="49"/>
  <c r="BQ71" i="49"/>
  <c r="BQ72" i="49"/>
  <c r="BQ73" i="49"/>
  <c r="BQ74" i="49"/>
  <c r="BQ75" i="49"/>
  <c r="BQ76" i="49"/>
  <c r="BQ77" i="49"/>
  <c r="BQ78" i="49"/>
  <c r="BQ79" i="49"/>
  <c r="BQ80" i="49"/>
  <c r="BQ81" i="49"/>
  <c r="BQ82" i="49"/>
  <c r="BQ83" i="49"/>
  <c r="BQ84" i="49"/>
  <c r="BQ85" i="49"/>
  <c r="BQ86" i="49"/>
  <c r="BQ87" i="49"/>
  <c r="BQ88" i="49"/>
  <c r="BQ89" i="49"/>
  <c r="BQ90" i="49"/>
  <c r="BQ91" i="49"/>
  <c r="BQ92" i="49"/>
  <c r="BQ93" i="49"/>
  <c r="BQ94" i="49"/>
  <c r="BQ95" i="49"/>
  <c r="BQ96" i="49"/>
  <c r="BQ97" i="49"/>
  <c r="BQ98" i="49"/>
  <c r="BQ99" i="49"/>
  <c r="BQ100" i="49"/>
  <c r="BQ101" i="49"/>
  <c r="BQ102" i="49"/>
  <c r="BQ103" i="49"/>
  <c r="BQ104" i="49"/>
  <c r="BQ105" i="49"/>
  <c r="BQ106" i="49"/>
  <c r="BQ107" i="49"/>
  <c r="BQ108" i="49"/>
  <c r="BQ109" i="49"/>
  <c r="BQ110" i="49"/>
  <c r="BQ111" i="49"/>
  <c r="BQ112" i="49"/>
  <c r="BQ113" i="49"/>
  <c r="BQ114" i="49"/>
  <c r="BQ115" i="49"/>
  <c r="BQ116" i="49"/>
  <c r="BQ117" i="49"/>
  <c r="BQ118" i="49"/>
  <c r="BQ119" i="49"/>
  <c r="BQ120" i="49"/>
  <c r="BQ121" i="49"/>
  <c r="BQ122" i="49"/>
  <c r="BQ123" i="49"/>
  <c r="BQ124" i="49"/>
  <c r="BQ125" i="49"/>
  <c r="BD9" i="49"/>
  <c r="BD10" i="49"/>
  <c r="BD11" i="49"/>
  <c r="BD12" i="49"/>
  <c r="BD13" i="49"/>
  <c r="BD14" i="49"/>
  <c r="BD15" i="49"/>
  <c r="BD16" i="49"/>
  <c r="BD17" i="49"/>
  <c r="BD18" i="49"/>
  <c r="BD19" i="49"/>
  <c r="BD20" i="49"/>
  <c r="BD21" i="49"/>
  <c r="BD22" i="49"/>
  <c r="BD23" i="49"/>
  <c r="BD24" i="49"/>
  <c r="BD25" i="49"/>
  <c r="BD26" i="49"/>
  <c r="BD27" i="49"/>
  <c r="BD28" i="49"/>
  <c r="BD29" i="49"/>
  <c r="BD30" i="49"/>
  <c r="BD31" i="49"/>
  <c r="BD32" i="49"/>
  <c r="BD33" i="49"/>
  <c r="BD34" i="49"/>
  <c r="BD35" i="49"/>
  <c r="BD36" i="49"/>
  <c r="BD37" i="49"/>
  <c r="BD38" i="49"/>
  <c r="BD39" i="49"/>
  <c r="BD40" i="49"/>
  <c r="BD41" i="49"/>
  <c r="BD42" i="49"/>
  <c r="BD43" i="49"/>
  <c r="BD44" i="49"/>
  <c r="BD45" i="49"/>
  <c r="BD46" i="49"/>
  <c r="BD47" i="49"/>
  <c r="BD48" i="49"/>
  <c r="BD49" i="49"/>
  <c r="BD50" i="49"/>
  <c r="BD51" i="49"/>
  <c r="BD52" i="49"/>
  <c r="BD53" i="49"/>
  <c r="BD54" i="49"/>
  <c r="BD55" i="49"/>
  <c r="BD56" i="49"/>
  <c r="BD57" i="49"/>
  <c r="BD58" i="49"/>
  <c r="BD59" i="49"/>
  <c r="BD60" i="49"/>
  <c r="BD61" i="49"/>
  <c r="BD62" i="49"/>
  <c r="BD63" i="49"/>
  <c r="BD64" i="49"/>
  <c r="BD65" i="49"/>
  <c r="BD66" i="49"/>
  <c r="BD67" i="49"/>
  <c r="BD68" i="49"/>
  <c r="BD69" i="49"/>
  <c r="BD70" i="49"/>
  <c r="BD71" i="49"/>
  <c r="BD72" i="49"/>
  <c r="BD73" i="49"/>
  <c r="BD74" i="49"/>
  <c r="BD75" i="49"/>
  <c r="BD76" i="49"/>
  <c r="BD77" i="49"/>
  <c r="BD78" i="49"/>
  <c r="BD79" i="49"/>
  <c r="BD80" i="49"/>
  <c r="BD81" i="49"/>
  <c r="BD82" i="49"/>
  <c r="BD83" i="49"/>
  <c r="BD84" i="49"/>
  <c r="BD85" i="49"/>
  <c r="BD86" i="49"/>
  <c r="BD87" i="49"/>
  <c r="BD88" i="49"/>
  <c r="BD89" i="49"/>
  <c r="BD90" i="49"/>
  <c r="BD91" i="49"/>
  <c r="BD92" i="49"/>
  <c r="BD93" i="49"/>
  <c r="BD94" i="49"/>
  <c r="BD95" i="49"/>
  <c r="BD96" i="49"/>
  <c r="BD97" i="49"/>
  <c r="BD98" i="49"/>
  <c r="BD99" i="49"/>
  <c r="BD100" i="49"/>
  <c r="BD101" i="49"/>
  <c r="BD102" i="49"/>
  <c r="BD103" i="49"/>
  <c r="BD104" i="49"/>
  <c r="BD105" i="49"/>
  <c r="BD106" i="49"/>
  <c r="BD107" i="49"/>
  <c r="BD108" i="49"/>
  <c r="BD109" i="49"/>
  <c r="BD110" i="49"/>
  <c r="BD111" i="49"/>
  <c r="BD112" i="49"/>
  <c r="BD113" i="49"/>
  <c r="BD114" i="49"/>
  <c r="BD115" i="49"/>
  <c r="BD116" i="49"/>
  <c r="BD117" i="49"/>
  <c r="BD118" i="49"/>
  <c r="BD119" i="49"/>
  <c r="BD120" i="49"/>
  <c r="BD121" i="49"/>
  <c r="BD122" i="49"/>
  <c r="BD123" i="49"/>
  <c r="BD124" i="49"/>
  <c r="BD125" i="49"/>
  <c r="AN9" i="49"/>
  <c r="AN10" i="49"/>
  <c r="AN11" i="49"/>
  <c r="AN12" i="49"/>
  <c r="AN13" i="49"/>
  <c r="AN14" i="49"/>
  <c r="AN15" i="49"/>
  <c r="AN16" i="49"/>
  <c r="AN17" i="49"/>
  <c r="AN18" i="49"/>
  <c r="AN19" i="49"/>
  <c r="AN20" i="49"/>
  <c r="AN21" i="49"/>
  <c r="AN22" i="49"/>
  <c r="AN23" i="49"/>
  <c r="AN24" i="49"/>
  <c r="AN25" i="49"/>
  <c r="AN26" i="49"/>
  <c r="AN27" i="49"/>
  <c r="AN28" i="49"/>
  <c r="AN29" i="49"/>
  <c r="AN30" i="49"/>
  <c r="AN31" i="49"/>
  <c r="AN32" i="49"/>
  <c r="AN33" i="49"/>
  <c r="AN34" i="49"/>
  <c r="AN35" i="49"/>
  <c r="AN36" i="49"/>
  <c r="AN37" i="49"/>
  <c r="AN38" i="49"/>
  <c r="AN39" i="49"/>
  <c r="AN40" i="49"/>
  <c r="AN41" i="49"/>
  <c r="AN42" i="49"/>
  <c r="AN43" i="49"/>
  <c r="AN44" i="49"/>
  <c r="AN45" i="49"/>
  <c r="AN46" i="49"/>
  <c r="AN47" i="49"/>
  <c r="AN48" i="49"/>
  <c r="AN49" i="49"/>
  <c r="AN50" i="49"/>
  <c r="AN51" i="49"/>
  <c r="AN52" i="49"/>
  <c r="AN53" i="49"/>
  <c r="AN54" i="49"/>
  <c r="AN55" i="49"/>
  <c r="AN56" i="49"/>
  <c r="AN57" i="49"/>
  <c r="AN58" i="49"/>
  <c r="AN59" i="49"/>
  <c r="AN60" i="49"/>
  <c r="AN61" i="49"/>
  <c r="AN62" i="49"/>
  <c r="AN63" i="49"/>
  <c r="AN64" i="49"/>
  <c r="AN65" i="49"/>
  <c r="AN66" i="49"/>
  <c r="AN67" i="49"/>
  <c r="AN68" i="49"/>
  <c r="AN69" i="49"/>
  <c r="AN70" i="49"/>
  <c r="AN71" i="49"/>
  <c r="AN72" i="49"/>
  <c r="AN73" i="49"/>
  <c r="AN74" i="49"/>
  <c r="AN75" i="49"/>
  <c r="AN76" i="49"/>
  <c r="AN77" i="49"/>
  <c r="AN78" i="49"/>
  <c r="AN79" i="49"/>
  <c r="AN80" i="49"/>
  <c r="AN81" i="49"/>
  <c r="AN82" i="49"/>
  <c r="AN83" i="49"/>
  <c r="AN84" i="49"/>
  <c r="AN85" i="49"/>
  <c r="AN86" i="49"/>
  <c r="AN87" i="49"/>
  <c r="AN88" i="49"/>
  <c r="AN89" i="49"/>
  <c r="AN90" i="49"/>
  <c r="AN91" i="49"/>
  <c r="AN92" i="49"/>
  <c r="AN93" i="49"/>
  <c r="AN94" i="49"/>
  <c r="AN95" i="49"/>
  <c r="AN96" i="49"/>
  <c r="AN97" i="49"/>
  <c r="AN98" i="49"/>
  <c r="AN99" i="49"/>
  <c r="AN100" i="49"/>
  <c r="AN101" i="49"/>
  <c r="AN102" i="49"/>
  <c r="AN103" i="49"/>
  <c r="AN104" i="49"/>
  <c r="AN105" i="49"/>
  <c r="AN106" i="49"/>
  <c r="AN107" i="49"/>
  <c r="AN108" i="49"/>
  <c r="AN109" i="49"/>
  <c r="AN110" i="49"/>
  <c r="AN111" i="49"/>
  <c r="AN112" i="49"/>
  <c r="AN113" i="49"/>
  <c r="AN114" i="49"/>
  <c r="AN115" i="49"/>
  <c r="AN116" i="49"/>
  <c r="AN117" i="49"/>
  <c r="AN118" i="49"/>
  <c r="AN119" i="49"/>
  <c r="AN120" i="49"/>
  <c r="AN121" i="49"/>
  <c r="AN122" i="49"/>
  <c r="AN123" i="49"/>
  <c r="AN124" i="49"/>
  <c r="AN125" i="49"/>
  <c r="X9" i="49"/>
  <c r="X10" i="49"/>
  <c r="X11" i="49"/>
  <c r="X12" i="49"/>
  <c r="X13" i="49"/>
  <c r="X14" i="49"/>
  <c r="X15" i="49"/>
  <c r="X16" i="49"/>
  <c r="X17" i="49"/>
  <c r="X18" i="49"/>
  <c r="X19" i="49"/>
  <c r="X20" i="49"/>
  <c r="X21" i="49"/>
  <c r="X22" i="49"/>
  <c r="X23" i="49"/>
  <c r="X24" i="49"/>
  <c r="X25" i="49"/>
  <c r="X26" i="49"/>
  <c r="X27" i="49"/>
  <c r="X28" i="49"/>
  <c r="X29" i="49"/>
  <c r="X30" i="49"/>
  <c r="X31" i="49"/>
  <c r="X32" i="49"/>
  <c r="X33" i="49"/>
  <c r="X34" i="49"/>
  <c r="X35" i="49"/>
  <c r="X36" i="49"/>
  <c r="X37" i="49"/>
  <c r="X38" i="49"/>
  <c r="X39" i="49"/>
  <c r="X40" i="49"/>
  <c r="X41" i="49"/>
  <c r="X42" i="49"/>
  <c r="X43" i="49"/>
  <c r="X44" i="49"/>
  <c r="X45" i="49"/>
  <c r="X46" i="49"/>
  <c r="X47" i="49"/>
  <c r="X48" i="49"/>
  <c r="X49" i="49"/>
  <c r="X50" i="49"/>
  <c r="X51" i="49"/>
  <c r="X52" i="49"/>
  <c r="X53" i="49"/>
  <c r="X54" i="49"/>
  <c r="X55" i="49"/>
  <c r="X56" i="49"/>
  <c r="X57" i="49"/>
  <c r="X58" i="49"/>
  <c r="X59" i="49"/>
  <c r="X60" i="49"/>
  <c r="X61" i="49"/>
  <c r="X62" i="49"/>
  <c r="X63" i="49"/>
  <c r="X64" i="49"/>
  <c r="X65" i="49"/>
  <c r="X66" i="49"/>
  <c r="X67" i="49"/>
  <c r="X68" i="49"/>
  <c r="X69" i="49"/>
  <c r="X70" i="49"/>
  <c r="X71" i="49"/>
  <c r="X72" i="49"/>
  <c r="X73" i="49"/>
  <c r="X74" i="49"/>
  <c r="X75" i="49"/>
  <c r="X76" i="49"/>
  <c r="X77" i="49"/>
  <c r="X78" i="49"/>
  <c r="X79" i="49"/>
  <c r="X80" i="49"/>
  <c r="X81" i="49"/>
  <c r="X82" i="49"/>
  <c r="X83" i="49"/>
  <c r="X84" i="49"/>
  <c r="X85" i="49"/>
  <c r="X86" i="49"/>
  <c r="X87" i="49"/>
  <c r="X88" i="49"/>
  <c r="X89" i="49"/>
  <c r="X90" i="49"/>
  <c r="X91" i="49"/>
  <c r="X92" i="49"/>
  <c r="X93" i="49"/>
  <c r="X94" i="49"/>
  <c r="X95" i="49"/>
  <c r="X96" i="49"/>
  <c r="X97" i="49"/>
  <c r="X98" i="49"/>
  <c r="X99" i="49"/>
  <c r="X100" i="49"/>
  <c r="X101" i="49"/>
  <c r="X102" i="49"/>
  <c r="X103" i="49"/>
  <c r="X104" i="49"/>
  <c r="X105" i="49"/>
  <c r="X106" i="49"/>
  <c r="X107" i="49"/>
  <c r="X108" i="49"/>
  <c r="X109" i="49"/>
  <c r="X110" i="49"/>
  <c r="X111" i="49"/>
  <c r="X112" i="49"/>
  <c r="X113" i="49"/>
  <c r="X114" i="49"/>
  <c r="X115" i="49"/>
  <c r="X116" i="49"/>
  <c r="X117" i="49"/>
  <c r="X118" i="49"/>
  <c r="X119" i="49"/>
  <c r="X120" i="49"/>
  <c r="X121" i="49"/>
  <c r="X122" i="49"/>
  <c r="X123" i="49"/>
  <c r="X124" i="49"/>
  <c r="X125" i="49"/>
  <c r="H12" i="49"/>
  <c r="H13" i="49"/>
  <c r="H14" i="49"/>
  <c r="H15" i="49"/>
  <c r="H16" i="49"/>
  <c r="H17" i="49"/>
  <c r="H18" i="49"/>
  <c r="H19" i="49"/>
  <c r="H20" i="49"/>
  <c r="H21" i="49"/>
  <c r="H22" i="49"/>
  <c r="H23" i="49"/>
  <c r="H24" i="49"/>
  <c r="H25" i="49"/>
  <c r="H26" i="49"/>
  <c r="H27" i="49"/>
  <c r="H28" i="49"/>
  <c r="H29" i="49"/>
  <c r="H30" i="49"/>
  <c r="H31" i="49"/>
  <c r="H32" i="49"/>
  <c r="H33" i="49"/>
  <c r="H34" i="49"/>
  <c r="H35" i="49"/>
  <c r="H36" i="49"/>
  <c r="H37" i="49"/>
  <c r="H38" i="49"/>
  <c r="H39" i="49"/>
  <c r="H40" i="49"/>
  <c r="H41" i="49"/>
  <c r="H42" i="49"/>
  <c r="H43" i="49"/>
  <c r="H44" i="49"/>
  <c r="H45" i="49"/>
  <c r="H46" i="49"/>
  <c r="H47" i="49"/>
  <c r="H48" i="49"/>
  <c r="H49" i="49"/>
  <c r="H50" i="49"/>
  <c r="H51" i="49"/>
  <c r="H52" i="49"/>
  <c r="H53" i="49"/>
  <c r="H54" i="49"/>
  <c r="H55" i="49"/>
  <c r="H56" i="49"/>
  <c r="H57" i="49"/>
  <c r="H58" i="49"/>
  <c r="H59" i="49"/>
  <c r="H60" i="49"/>
  <c r="H61" i="49"/>
  <c r="H62" i="49"/>
  <c r="H63" i="49"/>
  <c r="H64" i="49"/>
  <c r="H65" i="49"/>
  <c r="H66" i="49"/>
  <c r="H67" i="49"/>
  <c r="H68" i="49"/>
  <c r="H69" i="49"/>
  <c r="H70" i="49"/>
  <c r="H71" i="49"/>
  <c r="H72" i="49"/>
  <c r="H73" i="49"/>
  <c r="H74" i="49"/>
  <c r="H75" i="49"/>
  <c r="H76" i="49"/>
  <c r="H77" i="49"/>
  <c r="H78" i="49"/>
  <c r="H79" i="49"/>
  <c r="H80" i="49"/>
  <c r="H81" i="49"/>
  <c r="H82" i="49"/>
  <c r="H83" i="49"/>
  <c r="H84" i="49"/>
  <c r="H85" i="49"/>
  <c r="H86" i="49"/>
  <c r="H87" i="49"/>
  <c r="H88" i="49"/>
  <c r="H89" i="49"/>
  <c r="H90" i="49"/>
  <c r="H91" i="49"/>
  <c r="H92" i="49"/>
  <c r="H93" i="49"/>
  <c r="H94" i="49"/>
  <c r="H95" i="49"/>
  <c r="H96" i="49"/>
  <c r="H97" i="49"/>
  <c r="H98" i="49"/>
  <c r="H99" i="49"/>
  <c r="H100" i="49"/>
  <c r="H101" i="49"/>
  <c r="H102" i="49"/>
  <c r="H103" i="49"/>
  <c r="H104" i="49"/>
  <c r="H105" i="49"/>
  <c r="H106" i="49"/>
  <c r="H107" i="49"/>
  <c r="H108" i="49"/>
  <c r="H109" i="49"/>
  <c r="H110" i="49"/>
  <c r="H111" i="49"/>
  <c r="H112" i="49"/>
  <c r="H113" i="49"/>
  <c r="H114" i="49"/>
  <c r="H115" i="49"/>
  <c r="H116" i="49"/>
  <c r="H117" i="49"/>
  <c r="H118" i="49"/>
  <c r="H119" i="49"/>
  <c r="H120" i="49"/>
  <c r="H121" i="49"/>
  <c r="H122" i="49"/>
  <c r="H123" i="49"/>
  <c r="H124" i="49"/>
  <c r="H125" i="49"/>
  <c r="CH12" i="49"/>
  <c r="CG12" i="49"/>
  <c r="CE12" i="49"/>
  <c r="CF12" i="49" s="1"/>
  <c r="CH11" i="49"/>
  <c r="CG11" i="49"/>
  <c r="CH10" i="49"/>
  <c r="CG10" i="49"/>
  <c r="CG9" i="49"/>
  <c r="CG8" i="49"/>
  <c r="CG7" i="49"/>
  <c r="CG6" i="49"/>
  <c r="CG5" i="49"/>
  <c r="CG4" i="49"/>
  <c r="W3" i="49"/>
  <c r="W4" i="49" s="1"/>
  <c r="W5" i="49" s="1"/>
  <c r="W6" i="49" s="1"/>
  <c r="W7" i="49" s="1"/>
  <c r="W8" i="49" s="1"/>
  <c r="W9" i="49" s="1"/>
  <c r="W10" i="49" s="1"/>
  <c r="W11" i="49" s="1"/>
  <c r="W12" i="49" s="1"/>
  <c r="W13" i="49" s="1"/>
  <c r="W14" i="49" s="1"/>
  <c r="W15" i="49" s="1"/>
  <c r="W16" i="49" s="1"/>
  <c r="W17" i="49" s="1"/>
  <c r="W18" i="49" s="1"/>
  <c r="W19" i="49" s="1"/>
  <c r="W20" i="49" s="1"/>
  <c r="W21" i="49" s="1"/>
  <c r="W22" i="49" s="1"/>
  <c r="W23" i="49" s="1"/>
  <c r="W24" i="49" s="1"/>
  <c r="W25" i="49" s="1"/>
  <c r="W26" i="49" s="1"/>
  <c r="W27" i="49" s="1"/>
  <c r="W28" i="49" s="1"/>
  <c r="W29" i="49" s="1"/>
  <c r="W30" i="49" s="1"/>
  <c r="W31" i="49" s="1"/>
  <c r="W32" i="49" s="1"/>
  <c r="W33" i="49" s="1"/>
  <c r="W34" i="49" s="1"/>
  <c r="W35" i="49" s="1"/>
  <c r="W36" i="49" s="1"/>
  <c r="W37" i="49" s="1"/>
  <c r="W38" i="49" s="1"/>
  <c r="W39" i="49" s="1"/>
  <c r="W40" i="49" s="1"/>
  <c r="W41" i="49" s="1"/>
  <c r="W42" i="49" s="1"/>
  <c r="W43" i="49" s="1"/>
  <c r="W44" i="49" s="1"/>
  <c r="W45" i="49" s="1"/>
  <c r="W46" i="49" s="1"/>
  <c r="W47" i="49" s="1"/>
  <c r="W48" i="49" s="1"/>
  <c r="W49" i="49" s="1"/>
  <c r="W50" i="49" s="1"/>
  <c r="W51" i="49" s="1"/>
  <c r="W52" i="49" s="1"/>
  <c r="W53" i="49" s="1"/>
  <c r="W54" i="49" s="1"/>
  <c r="W55" i="49" s="1"/>
  <c r="W56" i="49" s="1"/>
  <c r="W57" i="49" s="1"/>
  <c r="W58" i="49" s="1"/>
  <c r="W59" i="49" s="1"/>
  <c r="W60" i="49" s="1"/>
  <c r="W61" i="49" s="1"/>
  <c r="W62" i="49" s="1"/>
  <c r="W63" i="49" s="1"/>
  <c r="W64" i="49" s="1"/>
  <c r="W65" i="49" s="1"/>
  <c r="W66" i="49" s="1"/>
  <c r="W67" i="49" s="1"/>
  <c r="W68" i="49" s="1"/>
  <c r="W69" i="49" s="1"/>
  <c r="W70" i="49" s="1"/>
  <c r="W71" i="49" s="1"/>
  <c r="W72" i="49" s="1"/>
  <c r="W73" i="49" s="1"/>
  <c r="W74" i="49" s="1"/>
  <c r="W75" i="49" s="1"/>
  <c r="W76" i="49" s="1"/>
  <c r="W77" i="49" s="1"/>
  <c r="W78" i="49" s="1"/>
  <c r="W79" i="49" s="1"/>
  <c r="W80" i="49" s="1"/>
  <c r="W81" i="49" s="1"/>
  <c r="W82" i="49" s="1"/>
  <c r="W83" i="49" s="1"/>
  <c r="W84" i="49" s="1"/>
  <c r="W85" i="49" s="1"/>
  <c r="W86" i="49" s="1"/>
  <c r="W87" i="49" s="1"/>
  <c r="W88" i="49" s="1"/>
  <c r="W89" i="49" s="1"/>
  <c r="W90" i="49" s="1"/>
  <c r="W91" i="49" s="1"/>
  <c r="W92" i="49" s="1"/>
  <c r="W93" i="49" s="1"/>
  <c r="W94" i="49" s="1"/>
  <c r="W95" i="49" s="1"/>
  <c r="W96" i="49" s="1"/>
  <c r="W97" i="49" s="1"/>
  <c r="W98" i="49" s="1"/>
  <c r="W99" i="49" s="1"/>
  <c r="W100" i="49" s="1"/>
  <c r="W101" i="49" s="1"/>
  <c r="W102" i="49" s="1"/>
  <c r="W103" i="49" s="1"/>
  <c r="W104" i="49" s="1"/>
  <c r="W105" i="49" s="1"/>
  <c r="W106" i="49" s="1"/>
  <c r="W107" i="49" s="1"/>
  <c r="W108" i="49" s="1"/>
  <c r="W109" i="49" s="1"/>
  <c r="W110" i="49" s="1"/>
  <c r="W111" i="49" s="1"/>
  <c r="W112" i="49" s="1"/>
  <c r="W113" i="49" s="1"/>
  <c r="W114" i="49" s="1"/>
  <c r="W115" i="49" s="1"/>
  <c r="W116" i="49" s="1"/>
  <c r="W117" i="49" s="1"/>
  <c r="W118" i="49" s="1"/>
  <c r="W119" i="49" s="1"/>
  <c r="W120" i="49" s="1"/>
  <c r="W121" i="49" s="1"/>
  <c r="W122" i="49" s="1"/>
  <c r="W123" i="49" s="1"/>
  <c r="W124" i="49" s="1"/>
  <c r="W125" i="49" s="1"/>
  <c r="B13" i="48"/>
  <c r="G12" i="48"/>
  <c r="F12" i="48"/>
  <c r="E12" i="48"/>
  <c r="N5" i="48"/>
  <c r="BD4" i="49"/>
  <c r="BD5" i="49"/>
  <c r="BD6" i="49"/>
  <c r="BD7" i="49"/>
  <c r="BD8" i="49"/>
  <c r="AN4" i="49"/>
  <c r="AN5" i="49"/>
  <c r="AN6" i="49"/>
  <c r="AN7" i="49"/>
  <c r="AN8" i="49"/>
  <c r="BR12" i="47"/>
  <c r="BQ12" i="47"/>
  <c r="BO12" i="47"/>
  <c r="BP12" i="47" s="1"/>
  <c r="BR11" i="47"/>
  <c r="BQ11" i="47"/>
  <c r="BR10" i="47"/>
  <c r="BQ10" i="47"/>
  <c r="BQ9" i="47"/>
  <c r="BQ8" i="47"/>
  <c r="BQ7" i="47"/>
  <c r="BQ6" i="47"/>
  <c r="BQ5" i="47"/>
  <c r="BQ4" i="47"/>
  <c r="W3" i="47"/>
  <c r="W4" i="47" s="1"/>
  <c r="W5" i="47" s="1"/>
  <c r="W6" i="47" s="1"/>
  <c r="W7" i="47" s="1"/>
  <c r="W8" i="47" s="1"/>
  <c r="W9" i="47" s="1"/>
  <c r="W10" i="47" s="1"/>
  <c r="W11" i="47" s="1"/>
  <c r="W12" i="47" s="1"/>
  <c r="W13" i="47" s="1"/>
  <c r="W14" i="47" s="1"/>
  <c r="W15" i="47" s="1"/>
  <c r="W16" i="47" s="1"/>
  <c r="W17" i="47" s="1"/>
  <c r="W18" i="47" s="1"/>
  <c r="W19" i="47" s="1"/>
  <c r="W20" i="47" s="1"/>
  <c r="W21" i="47" s="1"/>
  <c r="W22" i="47" s="1"/>
  <c r="W23" i="47" s="1"/>
  <c r="W24" i="47" s="1"/>
  <c r="W25" i="47" s="1"/>
  <c r="W26" i="47" s="1"/>
  <c r="W27" i="47" s="1"/>
  <c r="W28" i="47" s="1"/>
  <c r="W29" i="47" s="1"/>
  <c r="W30" i="47" s="1"/>
  <c r="W31" i="47" s="1"/>
  <c r="W32" i="47" s="1"/>
  <c r="W33" i="47" s="1"/>
  <c r="W34" i="47" s="1"/>
  <c r="W35" i="47" s="1"/>
  <c r="W36" i="47" s="1"/>
  <c r="W37" i="47" s="1"/>
  <c r="W38" i="47" s="1"/>
  <c r="W39" i="47" s="1"/>
  <c r="W40" i="47" s="1"/>
  <c r="W41" i="47" s="1"/>
  <c r="W42" i="47" s="1"/>
  <c r="W43" i="47" s="1"/>
  <c r="W44" i="47" s="1"/>
  <c r="W45" i="47" s="1"/>
  <c r="W46" i="47" s="1"/>
  <c r="W47" i="47" s="1"/>
  <c r="W48" i="47" s="1"/>
  <c r="W49" i="47" s="1"/>
  <c r="W50" i="47" s="1"/>
  <c r="W51" i="47" s="1"/>
  <c r="W52" i="47" s="1"/>
  <c r="W53" i="47" s="1"/>
  <c r="W54" i="47" s="1"/>
  <c r="W55" i="47" s="1"/>
  <c r="W56" i="47" s="1"/>
  <c r="W57" i="47" s="1"/>
  <c r="W58" i="47" s="1"/>
  <c r="W59" i="47" s="1"/>
  <c r="W60" i="47" s="1"/>
  <c r="W61" i="47" s="1"/>
  <c r="W62" i="47" s="1"/>
  <c r="W63" i="47" s="1"/>
  <c r="W64" i="47" s="1"/>
  <c r="W65" i="47" s="1"/>
  <c r="W66" i="47" s="1"/>
  <c r="W67" i="47" s="1"/>
  <c r="W68" i="47" s="1"/>
  <c r="W69" i="47" s="1"/>
  <c r="W70" i="47" s="1"/>
  <c r="W71" i="47" s="1"/>
  <c r="W72" i="47" s="1"/>
  <c r="W73" i="47" s="1"/>
  <c r="W74" i="47" s="1"/>
  <c r="W75" i="47" s="1"/>
  <c r="W76" i="47" s="1"/>
  <c r="W77" i="47" s="1"/>
  <c r="W78" i="47" s="1"/>
  <c r="W79" i="47" s="1"/>
  <c r="W80" i="47" s="1"/>
  <c r="W81" i="47" s="1"/>
  <c r="W82" i="47" s="1"/>
  <c r="W83" i="47" s="1"/>
  <c r="W84" i="47" s="1"/>
  <c r="W85" i="47" s="1"/>
  <c r="W86" i="47" s="1"/>
  <c r="W87" i="47" s="1"/>
  <c r="W88" i="47" s="1"/>
  <c r="W89" i="47" s="1"/>
  <c r="W90" i="47" s="1"/>
  <c r="W91" i="47" s="1"/>
  <c r="W92" i="47" s="1"/>
  <c r="W93" i="47" s="1"/>
  <c r="W94" i="47" s="1"/>
  <c r="W95" i="47" s="1"/>
  <c r="W96" i="47" s="1"/>
  <c r="W97" i="47" s="1"/>
  <c r="W98" i="47" s="1"/>
  <c r="W99" i="47" s="1"/>
  <c r="W100" i="47" s="1"/>
  <c r="W101" i="47" s="1"/>
  <c r="W102" i="47" s="1"/>
  <c r="W103" i="47" s="1"/>
  <c r="W104" i="47" s="1"/>
  <c r="W105" i="47" s="1"/>
  <c r="W106" i="47" s="1"/>
  <c r="W107" i="47" s="1"/>
  <c r="W108" i="47" s="1"/>
  <c r="W109" i="47" s="1"/>
  <c r="W110" i="47" s="1"/>
  <c r="W111" i="47" s="1"/>
  <c r="W112" i="47" s="1"/>
  <c r="W113" i="47" s="1"/>
  <c r="W114" i="47" s="1"/>
  <c r="W115" i="47" s="1"/>
  <c r="W116" i="47" s="1"/>
  <c r="W117" i="47" s="1"/>
  <c r="W118" i="47" s="1"/>
  <c r="W119" i="47" s="1"/>
  <c r="W120" i="47" s="1"/>
  <c r="W121" i="47" s="1"/>
  <c r="W122" i="47" s="1"/>
  <c r="W123" i="47" s="1"/>
  <c r="W124" i="47" s="1"/>
  <c r="W125" i="47" s="1"/>
  <c r="W126" i="47" s="1"/>
  <c r="W127" i="47" s="1"/>
  <c r="W128" i="47" s="1"/>
  <c r="W129" i="47" s="1"/>
  <c r="W130" i="47" s="1"/>
  <c r="W131" i="47" s="1"/>
  <c r="W132" i="47" s="1"/>
  <c r="W133" i="47" s="1"/>
  <c r="W134" i="47" s="1"/>
  <c r="W135" i="47" s="1"/>
  <c r="W136" i="47" s="1"/>
  <c r="W137" i="47" s="1"/>
  <c r="W138" i="47" s="1"/>
  <c r="W139" i="47" s="1"/>
  <c r="W140" i="47" s="1"/>
  <c r="W141" i="47" s="1"/>
  <c r="W142" i="47" s="1"/>
  <c r="W143" i="47" s="1"/>
  <c r="W144" i="47" s="1"/>
  <c r="W145" i="47" s="1"/>
  <c r="W146" i="47" s="1"/>
  <c r="W147" i="47" s="1"/>
  <c r="W148" i="47" s="1"/>
  <c r="W149" i="47" s="1"/>
  <c r="W150" i="47" s="1"/>
  <c r="W151" i="47" s="1"/>
  <c r="W152" i="47" s="1"/>
  <c r="W153" i="47" s="1"/>
  <c r="W154" i="47" s="1"/>
  <c r="W155" i="47" s="1"/>
  <c r="W156" i="47" s="1"/>
  <c r="W157" i="47" s="1"/>
  <c r="W158" i="47" s="1"/>
  <c r="W159" i="47" s="1"/>
  <c r="W160" i="47" s="1"/>
  <c r="W161" i="47" s="1"/>
  <c r="W162" i="47" s="1"/>
  <c r="W163" i="47" s="1"/>
  <c r="W164" i="47" s="1"/>
  <c r="W165" i="47" s="1"/>
  <c r="W166" i="47" s="1"/>
  <c r="W167" i="47" s="1"/>
  <c r="W168" i="47" s="1"/>
  <c r="W169" i="47" s="1"/>
  <c r="W170" i="47" s="1"/>
  <c r="W171" i="47" s="1"/>
  <c r="W172" i="47" s="1"/>
  <c r="W173" i="47" s="1"/>
  <c r="W174" i="47" s="1"/>
  <c r="W175" i="47" s="1"/>
  <c r="W176" i="47" s="1"/>
  <c r="W177" i="47" s="1"/>
  <c r="W178" i="47" s="1"/>
  <c r="W179" i="47" s="1"/>
  <c r="W180" i="47" s="1"/>
  <c r="W181" i="47" s="1"/>
  <c r="W182" i="47" s="1"/>
  <c r="W183" i="47" s="1"/>
  <c r="W184" i="47" s="1"/>
  <c r="W185" i="47" s="1"/>
  <c r="W186" i="47" s="1"/>
  <c r="W187" i="47" s="1"/>
  <c r="W188" i="47" s="1"/>
  <c r="W189" i="47" s="1"/>
  <c r="W190" i="47" s="1"/>
  <c r="W191" i="47" s="1"/>
  <c r="W192" i="47" s="1"/>
  <c r="W193" i="47" s="1"/>
  <c r="W194" i="47" s="1"/>
  <c r="W195" i="47" s="1"/>
  <c r="W196" i="47" s="1"/>
  <c r="W197" i="47" s="1"/>
  <c r="W198" i="47" s="1"/>
  <c r="W199" i="47" s="1"/>
  <c r="W200" i="47" s="1"/>
  <c r="W201" i="47" s="1"/>
  <c r="W202" i="47" s="1"/>
  <c r="W203" i="47" s="1"/>
  <c r="W204" i="47" s="1"/>
  <c r="W205" i="47" s="1"/>
  <c r="W206" i="47" s="1"/>
  <c r="W207" i="47" s="1"/>
  <c r="W208" i="47" s="1"/>
  <c r="W209" i="47" s="1"/>
  <c r="W210" i="47" s="1"/>
  <c r="W211" i="47" s="1"/>
  <c r="W212" i="47" s="1"/>
  <c r="W213" i="47" s="1"/>
  <c r="W214" i="47" s="1"/>
  <c r="W215" i="47" s="1"/>
  <c r="W216" i="47" s="1"/>
  <c r="W217" i="47" s="1"/>
  <c r="W218" i="47" s="1"/>
  <c r="W219" i="47" s="1"/>
  <c r="W220" i="47" s="1"/>
  <c r="W221" i="47" s="1"/>
  <c r="W222" i="47" s="1"/>
  <c r="W223" i="47" s="1"/>
  <c r="W224" i="47" s="1"/>
  <c r="W225" i="47" s="1"/>
  <c r="W226" i="47" s="1"/>
  <c r="W227" i="47" s="1"/>
  <c r="W228" i="47" s="1"/>
  <c r="W229" i="47" s="1"/>
  <c r="W230" i="47" s="1"/>
  <c r="W231" i="47" s="1"/>
  <c r="W232" i="47" s="1"/>
  <c r="W233" i="47" s="1"/>
  <c r="W234" i="47" s="1"/>
  <c r="W235" i="47" s="1"/>
  <c r="W236" i="47" s="1"/>
  <c r="W237" i="47" s="1"/>
  <c r="W238" i="47" s="1"/>
  <c r="W239" i="47" s="1"/>
  <c r="W240" i="47" s="1"/>
  <c r="W241" i="47" s="1"/>
  <c r="W242" i="47" s="1"/>
  <c r="W243" i="47" s="1"/>
  <c r="W244" i="47" s="1"/>
  <c r="W245" i="47" s="1"/>
  <c r="W246" i="47" s="1"/>
  <c r="W247" i="47" s="1"/>
  <c r="W248" i="47" s="1"/>
  <c r="W249" i="47" s="1"/>
  <c r="W250" i="47" s="1"/>
  <c r="W251" i="47" s="1"/>
  <c r="W252" i="47" s="1"/>
  <c r="W253" i="47" s="1"/>
  <c r="W254" i="47" s="1"/>
  <c r="W255" i="47" s="1"/>
  <c r="W256" i="47" s="1"/>
  <c r="W257" i="47" s="1"/>
  <c r="W258" i="47" s="1"/>
  <c r="W259" i="47" s="1"/>
  <c r="W260" i="47" s="1"/>
  <c r="W261" i="47" s="1"/>
  <c r="W262" i="47" s="1"/>
  <c r="W263" i="47" s="1"/>
  <c r="W264" i="47" s="1"/>
  <c r="W265" i="47" s="1"/>
  <c r="W266" i="47" s="1"/>
  <c r="W267" i="47" s="1"/>
  <c r="W268" i="47" s="1"/>
  <c r="W269" i="47" s="1"/>
  <c r="W270" i="47" s="1"/>
  <c r="W271" i="47" s="1"/>
  <c r="W272" i="47" s="1"/>
  <c r="W273" i="47" s="1"/>
  <c r="W274" i="47" s="1"/>
  <c r="W275" i="47" s="1"/>
  <c r="W276" i="47" s="1"/>
  <c r="W277" i="47" s="1"/>
  <c r="W278" i="47" s="1"/>
  <c r="W279" i="47" s="1"/>
  <c r="W280" i="47" s="1"/>
  <c r="G12" i="46"/>
  <c r="F12" i="46"/>
  <c r="E12" i="46"/>
  <c r="N5" i="46"/>
  <c r="W3" i="43"/>
  <c r="W4" i="43" s="1"/>
  <c r="W5" i="43" s="1"/>
  <c r="W6" i="43" s="1"/>
  <c r="W7" i="43" s="1"/>
  <c r="W8" i="43" s="1"/>
  <c r="W9" i="43" s="1"/>
  <c r="W10" i="43" s="1"/>
  <c r="W11" i="43" s="1"/>
  <c r="W12" i="43" s="1"/>
  <c r="W13" i="43" s="1"/>
  <c r="W14" i="43" s="1"/>
  <c r="W15" i="43" s="1"/>
  <c r="W16" i="43" s="1"/>
  <c r="W17" i="43" s="1"/>
  <c r="W18" i="43" s="1"/>
  <c r="W19" i="43" s="1"/>
  <c r="W20" i="43" s="1"/>
  <c r="W21" i="43" s="1"/>
  <c r="W22" i="43" s="1"/>
  <c r="W23" i="43" s="1"/>
  <c r="W24" i="43" s="1"/>
  <c r="W25" i="43" s="1"/>
  <c r="W26" i="43" s="1"/>
  <c r="W27" i="43" s="1"/>
  <c r="W28" i="43" s="1"/>
  <c r="W29" i="43" s="1"/>
  <c r="W30" i="43" s="1"/>
  <c r="W31" i="43" s="1"/>
  <c r="W32" i="43" s="1"/>
  <c r="W33" i="43" s="1"/>
  <c r="W34" i="43" s="1"/>
  <c r="W35" i="43" s="1"/>
  <c r="W36" i="43" s="1"/>
  <c r="W37" i="43" s="1"/>
  <c r="W38" i="43" s="1"/>
  <c r="W39" i="43" s="1"/>
  <c r="W40" i="43" s="1"/>
  <c r="W41" i="43" s="1"/>
  <c r="W42" i="43" s="1"/>
  <c r="W43" i="43" s="1"/>
  <c r="W44" i="43" s="1"/>
  <c r="W45" i="43" s="1"/>
  <c r="W46" i="43" s="1"/>
  <c r="W47" i="43" s="1"/>
  <c r="W48" i="43" s="1"/>
  <c r="W49" i="43" s="1"/>
  <c r="W50" i="43" s="1"/>
  <c r="W51" i="43" s="1"/>
  <c r="W52" i="43" s="1"/>
  <c r="W53" i="43" s="1"/>
  <c r="W54" i="43" s="1"/>
  <c r="W55" i="43" s="1"/>
  <c r="W56" i="43" s="1"/>
  <c r="W57" i="43" s="1"/>
  <c r="W58" i="43" s="1"/>
  <c r="W59" i="43" s="1"/>
  <c r="W60" i="43" s="1"/>
  <c r="W61" i="43" s="1"/>
  <c r="W62" i="43" s="1"/>
  <c r="W63" i="43" s="1"/>
  <c r="W64" i="43" s="1"/>
  <c r="W65" i="43" s="1"/>
  <c r="W66" i="43" s="1"/>
  <c r="W67" i="43" s="1"/>
  <c r="W68" i="43" s="1"/>
  <c r="W69" i="43" s="1"/>
  <c r="W70" i="43" s="1"/>
  <c r="W71" i="43" s="1"/>
  <c r="W72" i="43" s="1"/>
  <c r="W73" i="43" s="1"/>
  <c r="W74" i="43" s="1"/>
  <c r="W75" i="43" s="1"/>
  <c r="W76" i="43" s="1"/>
  <c r="W77" i="43" s="1"/>
  <c r="W78" i="43" s="1"/>
  <c r="W79" i="43" s="1"/>
  <c r="W80" i="43" s="1"/>
  <c r="W81" i="43" s="1"/>
  <c r="W82" i="43" s="1"/>
  <c r="W83" i="43" s="1"/>
  <c r="W84" i="43" s="1"/>
  <c r="W85" i="43" s="1"/>
  <c r="W86" i="43" s="1"/>
  <c r="W87" i="43" s="1"/>
  <c r="W88" i="43" s="1"/>
  <c r="W89" i="43" s="1"/>
  <c r="W90" i="43" s="1"/>
  <c r="W91" i="43" s="1"/>
  <c r="W92" i="43" s="1"/>
  <c r="W93" i="43" s="1"/>
  <c r="W94" i="43" s="1"/>
  <c r="W95" i="43" s="1"/>
  <c r="W96" i="43" s="1"/>
  <c r="W97" i="43" s="1"/>
  <c r="W98" i="43" s="1"/>
  <c r="W99" i="43" s="1"/>
  <c r="W100" i="43" s="1"/>
  <c r="W101" i="43" s="1"/>
  <c r="W102" i="43" s="1"/>
  <c r="W103" i="43" s="1"/>
  <c r="W104" i="43" s="1"/>
  <c r="W105" i="43" s="1"/>
  <c r="W106" i="43" s="1"/>
  <c r="W107" i="43" s="1"/>
  <c r="W108" i="43" s="1"/>
  <c r="W109" i="43" s="1"/>
  <c r="W110" i="43" s="1"/>
  <c r="W111" i="43" s="1"/>
  <c r="W112" i="43" s="1"/>
  <c r="W113" i="43" s="1"/>
  <c r="W114" i="43" s="1"/>
  <c r="W115" i="43" s="1"/>
  <c r="W116" i="43" s="1"/>
  <c r="W117" i="43" s="1"/>
  <c r="W118" i="43" s="1"/>
  <c r="W119" i="43" s="1"/>
  <c r="W120" i="43" s="1"/>
  <c r="W121" i="43" s="1"/>
  <c r="W122" i="43" s="1"/>
  <c r="W123" i="43" s="1"/>
  <c r="W124" i="43" s="1"/>
  <c r="W125" i="43" s="1"/>
  <c r="W126" i="43" s="1"/>
  <c r="W127" i="43" s="1"/>
  <c r="W128" i="43" s="1"/>
  <c r="W129" i="43" s="1"/>
  <c r="W130" i="43" s="1"/>
  <c r="W131" i="43" s="1"/>
  <c r="W132" i="43" s="1"/>
  <c r="W133" i="43" s="1"/>
  <c r="W134" i="43" s="1"/>
  <c r="W135" i="43" s="1"/>
  <c r="W136" i="43" s="1"/>
  <c r="W137" i="43" s="1"/>
  <c r="W138" i="43" s="1"/>
  <c r="W139" i="43" s="1"/>
  <c r="W140" i="43" s="1"/>
  <c r="W141" i="43" s="1"/>
  <c r="W142" i="43" s="1"/>
  <c r="W143" i="43" s="1"/>
  <c r="W144" i="43" s="1"/>
  <c r="W145" i="43" s="1"/>
  <c r="W146" i="43" s="1"/>
  <c r="W147" i="43" s="1"/>
  <c r="W148" i="43" s="1"/>
  <c r="W149" i="43" s="1"/>
  <c r="W150" i="43" s="1"/>
  <c r="W151" i="43" s="1"/>
  <c r="W152" i="43" s="1"/>
  <c r="W153" i="43" s="1"/>
  <c r="W154" i="43" s="1"/>
  <c r="W155" i="43" s="1"/>
  <c r="W156" i="43" s="1"/>
  <c r="W157" i="43" s="1"/>
  <c r="W158" i="43" s="1"/>
  <c r="W159" i="43" s="1"/>
  <c r="W160" i="43" s="1"/>
  <c r="W161" i="43" s="1"/>
  <c r="W162" i="43" s="1"/>
  <c r="W163" i="43" s="1"/>
  <c r="W164" i="43" s="1"/>
  <c r="W165" i="43" s="1"/>
  <c r="W166" i="43" s="1"/>
  <c r="W167" i="43" s="1"/>
  <c r="W168" i="43" s="1"/>
  <c r="W169" i="43" s="1"/>
  <c r="W170" i="43" s="1"/>
  <c r="W171" i="43" s="1"/>
  <c r="W172" i="43" s="1"/>
  <c r="W173" i="43" s="1"/>
  <c r="W174" i="43" s="1"/>
  <c r="W175" i="43" s="1"/>
  <c r="W176" i="43" s="1"/>
  <c r="W177" i="43" s="1"/>
  <c r="W178" i="43" s="1"/>
  <c r="W179" i="43" s="1"/>
  <c r="W180" i="43" s="1"/>
  <c r="W181" i="43" s="1"/>
  <c r="W182" i="43" s="1"/>
  <c r="W183" i="43" s="1"/>
  <c r="W184" i="43" s="1"/>
  <c r="W185" i="43" s="1"/>
  <c r="W186" i="43" s="1"/>
  <c r="W187" i="43" s="1"/>
  <c r="W188" i="43" s="1"/>
  <c r="W189" i="43" s="1"/>
  <c r="W190" i="43" s="1"/>
  <c r="W191" i="43" s="1"/>
  <c r="W192" i="43" s="1"/>
  <c r="W193" i="43" s="1"/>
  <c r="W194" i="43" s="1"/>
  <c r="W195" i="43" s="1"/>
  <c r="W196" i="43" s="1"/>
  <c r="W197" i="43" s="1"/>
  <c r="W198" i="43" s="1"/>
  <c r="W199" i="43" s="1"/>
  <c r="W200" i="43" s="1"/>
  <c r="W201" i="43" s="1"/>
  <c r="W202" i="43" s="1"/>
  <c r="W203" i="43" s="1"/>
  <c r="W204" i="43" s="1"/>
  <c r="W205" i="43" s="1"/>
  <c r="W206" i="43" s="1"/>
  <c r="W207" i="43" s="1"/>
  <c r="W208" i="43" s="1"/>
  <c r="W209" i="43" s="1"/>
  <c r="W210" i="43" s="1"/>
  <c r="W211" i="43" s="1"/>
  <c r="W212" i="43" s="1"/>
  <c r="W213" i="43" s="1"/>
  <c r="W214" i="43" s="1"/>
  <c r="W215" i="43" s="1"/>
  <c r="W216" i="43" s="1"/>
  <c r="W217" i="43" s="1"/>
  <c r="W218" i="43" s="1"/>
  <c r="W219" i="43" s="1"/>
  <c r="W220" i="43" s="1"/>
  <c r="W221" i="43" s="1"/>
  <c r="W222" i="43" s="1"/>
  <c r="W223" i="43" s="1"/>
  <c r="W224" i="43" s="1"/>
  <c r="W225" i="43" s="1"/>
  <c r="W226" i="43" s="1"/>
  <c r="W227" i="43" s="1"/>
  <c r="W228" i="43" s="1"/>
  <c r="W229" i="43" s="1"/>
  <c r="W230" i="43" s="1"/>
  <c r="W231" i="43" s="1"/>
  <c r="W232" i="43" s="1"/>
  <c r="W233" i="43" s="1"/>
  <c r="W234" i="43" s="1"/>
  <c r="W235" i="43" s="1"/>
  <c r="W236" i="43" s="1"/>
  <c r="W237" i="43" s="1"/>
  <c r="W238" i="43" s="1"/>
  <c r="W239" i="43" s="1"/>
  <c r="W240" i="43" s="1"/>
  <c r="BA12" i="43"/>
  <c r="AX12" i="43"/>
  <c r="BA11" i="43"/>
  <c r="BA10" i="43"/>
  <c r="N5" i="45"/>
  <c r="G12" i="45"/>
  <c r="F12" i="45"/>
  <c r="E12" i="45"/>
  <c r="G133" i="30"/>
  <c r="F133" i="30"/>
  <c r="E133" i="30"/>
  <c r="N5" i="41"/>
  <c r="B32" i="38"/>
  <c r="B32" i="36"/>
  <c r="B33" i="28"/>
  <c r="B33" i="30"/>
  <c r="B33" i="32"/>
  <c r="B33" i="34"/>
  <c r="AN8" i="47"/>
  <c r="AN7" i="47"/>
  <c r="AN6" i="47"/>
  <c r="AN5" i="47"/>
  <c r="AN4" i="47"/>
  <c r="I12" i="41"/>
  <c r="G3" i="42"/>
  <c r="G4" i="42" s="1"/>
  <c r="G5" i="42" s="1"/>
  <c r="G6" i="42" s="1"/>
  <c r="G7" i="42" s="1"/>
  <c r="G8" i="42" s="1"/>
  <c r="G9" i="42" s="1"/>
  <c r="G10" i="42" s="1"/>
  <c r="G11" i="42" s="1"/>
  <c r="G12" i="42" s="1"/>
  <c r="G13" i="42" s="1"/>
  <c r="G14" i="42" s="1"/>
  <c r="G15" i="42" s="1"/>
  <c r="G16" i="42" s="1"/>
  <c r="G17" i="42" s="1"/>
  <c r="G18" i="42" s="1"/>
  <c r="G19" i="42" s="1"/>
  <c r="G20" i="42" s="1"/>
  <c r="G21" i="42" s="1"/>
  <c r="G22" i="42" s="1"/>
  <c r="G23" i="42" s="1"/>
  <c r="G24" i="42" s="1"/>
  <c r="G25" i="42" s="1"/>
  <c r="G26" i="42" s="1"/>
  <c r="G27" i="42" s="1"/>
  <c r="G28" i="42" s="1"/>
  <c r="G29" i="42" s="1"/>
  <c r="G30" i="42" s="1"/>
  <c r="G31" i="42" s="1"/>
  <c r="G32" i="42" s="1"/>
  <c r="G33" i="42" s="1"/>
  <c r="G34" i="42" s="1"/>
  <c r="G35" i="42" s="1"/>
  <c r="G36" i="42" s="1"/>
  <c r="G37" i="42" s="1"/>
  <c r="G38" i="42" s="1"/>
  <c r="G39" i="42" s="1"/>
  <c r="G40" i="42" s="1"/>
  <c r="G41" i="42" s="1"/>
  <c r="G42" i="42" s="1"/>
  <c r="G43" i="42" s="1"/>
  <c r="G44" i="42" s="1"/>
  <c r="G45" i="42" s="1"/>
  <c r="G46" i="42" s="1"/>
  <c r="G47" i="42" s="1"/>
  <c r="G48" i="42" s="1"/>
  <c r="G49" i="42" s="1"/>
  <c r="G50" i="42" s="1"/>
  <c r="G51" i="42" s="1"/>
  <c r="G52" i="42" s="1"/>
  <c r="G53" i="42" s="1"/>
  <c r="G54" i="42" s="1"/>
  <c r="G55" i="42" s="1"/>
  <c r="G56" i="42" s="1"/>
  <c r="G57" i="42" s="1"/>
  <c r="G58" i="42" s="1"/>
  <c r="G59" i="42" s="1"/>
  <c r="G60" i="42" s="1"/>
  <c r="G61" i="42" s="1"/>
  <c r="G62" i="42" s="1"/>
  <c r="G63" i="42" s="1"/>
  <c r="G64" i="42" s="1"/>
  <c r="G65" i="42" s="1"/>
  <c r="G66" i="42" s="1"/>
  <c r="G67" i="42" s="1"/>
  <c r="G68" i="42" s="1"/>
  <c r="G69" i="42" s="1"/>
  <c r="G70" i="42" s="1"/>
  <c r="G71" i="42" s="1"/>
  <c r="G72" i="42" s="1"/>
  <c r="G73" i="42" s="1"/>
  <c r="G74" i="42" s="1"/>
  <c r="G75" i="42" s="1"/>
  <c r="G76" i="42" s="1"/>
  <c r="G77" i="42" s="1"/>
  <c r="G78" i="42" s="1"/>
  <c r="G79" i="42" s="1"/>
  <c r="G80" i="42" s="1"/>
  <c r="G81" i="42" s="1"/>
  <c r="G82" i="42" s="1"/>
  <c r="G83" i="42" s="1"/>
  <c r="G84" i="42" s="1"/>
  <c r="G85" i="42" s="1"/>
  <c r="G86" i="42" s="1"/>
  <c r="G87" i="42" s="1"/>
  <c r="G88" i="42" s="1"/>
  <c r="G89" i="42" s="1"/>
  <c r="G90" i="42" s="1"/>
  <c r="G91" i="42" s="1"/>
  <c r="G92" i="42" s="1"/>
  <c r="G93" i="42" s="1"/>
  <c r="G94" i="42" s="1"/>
  <c r="G95" i="42" s="1"/>
  <c r="G96" i="42" s="1"/>
  <c r="G97" i="42" s="1"/>
  <c r="G98" i="42" s="1"/>
  <c r="G99" i="42" s="1"/>
  <c r="G100" i="42" s="1"/>
  <c r="G101" i="42" s="1"/>
  <c r="G102" i="42" s="1"/>
  <c r="G103" i="42" s="1"/>
  <c r="G104" i="42" s="1"/>
  <c r="G105" i="42" s="1"/>
  <c r="G106" i="42" s="1"/>
  <c r="G107" i="42" s="1"/>
  <c r="G108" i="42" s="1"/>
  <c r="G109" i="42" s="1"/>
  <c r="G110" i="42" s="1"/>
  <c r="G111" i="42" s="1"/>
  <c r="G112" i="42" s="1"/>
  <c r="G113" i="42" s="1"/>
  <c r="G114" i="42" s="1"/>
  <c r="G115" i="42" s="1"/>
  <c r="G116" i="42" s="1"/>
  <c r="G117" i="42" s="1"/>
  <c r="G118" i="42" s="1"/>
  <c r="G119" i="42" s="1"/>
  <c r="G120" i="42" s="1"/>
  <c r="G121" i="42" s="1"/>
  <c r="G122" i="42" s="1"/>
  <c r="G123" i="42" s="1"/>
  <c r="G124" i="42" s="1"/>
  <c r="G125" i="42" s="1"/>
  <c r="G126" i="42" s="1"/>
  <c r="G127" i="42" s="1"/>
  <c r="G128" i="42" s="1"/>
  <c r="G129" i="42" s="1"/>
  <c r="G130" i="42" s="1"/>
  <c r="G131" i="42" s="1"/>
  <c r="G132" i="42" s="1"/>
  <c r="G133" i="42" s="1"/>
  <c r="G134" i="42" s="1"/>
  <c r="G135" i="42" s="1"/>
  <c r="G136" i="42" s="1"/>
  <c r="G137" i="42" s="1"/>
  <c r="G138" i="42" s="1"/>
  <c r="G139" i="42" s="1"/>
  <c r="G140" i="42" s="1"/>
  <c r="G141" i="42" s="1"/>
  <c r="G142" i="42" s="1"/>
  <c r="G143" i="42" s="1"/>
  <c r="G144" i="42" s="1"/>
  <c r="G145" i="42" s="1"/>
  <c r="G146" i="42" s="1"/>
  <c r="G147" i="42" s="1"/>
  <c r="G148" i="42" s="1"/>
  <c r="G149" i="42" s="1"/>
  <c r="G150" i="42" s="1"/>
  <c r="G151" i="42" s="1"/>
  <c r="G152" i="42" s="1"/>
  <c r="G153" i="42" s="1"/>
  <c r="G154" i="42" s="1"/>
  <c r="G155" i="42" s="1"/>
  <c r="G156" i="42" s="1"/>
  <c r="G157" i="42" s="1"/>
  <c r="G158" i="42" s="1"/>
  <c r="G159" i="42" s="1"/>
  <c r="G160" i="42" s="1"/>
  <c r="G161" i="42" s="1"/>
  <c r="G162" i="42" s="1"/>
  <c r="G163" i="42" s="1"/>
  <c r="G164" i="42" s="1"/>
  <c r="G165" i="42" s="1"/>
  <c r="G166" i="42" s="1"/>
  <c r="G167" i="42" s="1"/>
  <c r="G168" i="42" s="1"/>
  <c r="G169" i="42" s="1"/>
  <c r="G170" i="42" s="1"/>
  <c r="G171" i="42" s="1"/>
  <c r="G172" i="42" s="1"/>
  <c r="G173" i="42" s="1"/>
  <c r="G174" i="42" s="1"/>
  <c r="G175" i="42" s="1"/>
  <c r="G176" i="42" s="1"/>
  <c r="G177" i="42" s="1"/>
  <c r="G178" i="42" s="1"/>
  <c r="G179" i="42" s="1"/>
  <c r="G180" i="42" s="1"/>
  <c r="G181" i="42" s="1"/>
  <c r="G182" i="42" s="1"/>
  <c r="G183" i="42" s="1"/>
  <c r="G184" i="42" s="1"/>
  <c r="G185" i="42" s="1"/>
  <c r="G186" i="42" s="1"/>
  <c r="G187" i="42" s="1"/>
  <c r="G188" i="42" s="1"/>
  <c r="G189" i="42" s="1"/>
  <c r="G190" i="42" s="1"/>
  <c r="G191" i="42" s="1"/>
  <c r="G192" i="42" s="1"/>
  <c r="G193" i="42" s="1"/>
  <c r="G194" i="42" s="1"/>
  <c r="G195" i="42" s="1"/>
  <c r="G196" i="42" s="1"/>
  <c r="G197" i="42" s="1"/>
  <c r="G198" i="42" s="1"/>
  <c r="G199" i="42" s="1"/>
  <c r="G200" i="42" s="1"/>
  <c r="G201" i="42" s="1"/>
  <c r="G202" i="42" s="1"/>
  <c r="G203" i="42" s="1"/>
  <c r="G204" i="42" s="1"/>
  <c r="G205" i="42" s="1"/>
  <c r="G206" i="42" s="1"/>
  <c r="G207" i="42" s="1"/>
  <c r="G208" i="42" s="1"/>
  <c r="G209" i="42" s="1"/>
  <c r="G210" i="42" s="1"/>
  <c r="G211" i="42" s="1"/>
  <c r="G212" i="42" s="1"/>
  <c r="G213" i="42" s="1"/>
  <c r="G214" i="42" s="1"/>
  <c r="G215" i="42" s="1"/>
  <c r="G216" i="42" s="1"/>
  <c r="G217" i="42" s="1"/>
  <c r="G218" i="42" s="1"/>
  <c r="G219" i="42" s="1"/>
  <c r="G220" i="42" s="1"/>
  <c r="G221" i="42" s="1"/>
  <c r="G222" i="42" s="1"/>
  <c r="G223" i="42" s="1"/>
  <c r="G224" i="42" s="1"/>
  <c r="G225" i="42" s="1"/>
  <c r="G226" i="42" s="1"/>
  <c r="G227" i="42" s="1"/>
  <c r="G228" i="42" s="1"/>
  <c r="G229" i="42" s="1"/>
  <c r="G230" i="42" s="1"/>
  <c r="G231" i="42" s="1"/>
  <c r="G232" i="42" s="1"/>
  <c r="G233" i="42" s="1"/>
  <c r="G234" i="42" s="1"/>
  <c r="G235" i="42" s="1"/>
  <c r="G236" i="42" s="1"/>
  <c r="G237" i="42" s="1"/>
  <c r="G238" i="42" s="1"/>
  <c r="G239" i="42" s="1"/>
  <c r="G240" i="42" s="1"/>
  <c r="AL12" i="42"/>
  <c r="AI12" i="42"/>
  <c r="AL11" i="42"/>
  <c r="AL10" i="42"/>
  <c r="A1" i="21"/>
  <c r="B35" i="27"/>
  <c r="C5" i="40"/>
  <c r="C4" i="40"/>
  <c r="C3" i="40"/>
  <c r="B3" i="40"/>
  <c r="F47" i="26"/>
  <c r="C15" i="27" s="1"/>
  <c r="N16" i="51" s="1"/>
  <c r="B32" i="26"/>
  <c r="G72" i="30"/>
  <c r="H72" i="30"/>
  <c r="G76" i="32"/>
  <c r="H76" i="32"/>
  <c r="H76" i="28"/>
  <c r="C12" i="39"/>
  <c r="C11" i="39"/>
  <c r="C12" i="37"/>
  <c r="C11" i="37"/>
  <c r="C12" i="35"/>
  <c r="C11" i="35"/>
  <c r="C12" i="33"/>
  <c r="C11" i="33"/>
  <c r="C12" i="31"/>
  <c r="C11" i="31"/>
  <c r="C12" i="29"/>
  <c r="C11" i="29"/>
  <c r="B21" i="30"/>
  <c r="G76" i="28"/>
  <c r="B19" i="26"/>
  <c r="E107" i="30"/>
  <c r="H37" i="39"/>
  <c r="G37" i="39"/>
  <c r="F37" i="39"/>
  <c r="E37" i="39"/>
  <c r="D37" i="39"/>
  <c r="C33" i="39"/>
  <c r="C32" i="39"/>
  <c r="C29" i="39"/>
  <c r="C28" i="39"/>
  <c r="C27" i="39"/>
  <c r="C26" i="39"/>
  <c r="C25" i="39"/>
  <c r="C24" i="39"/>
  <c r="C23" i="39"/>
  <c r="C10" i="39"/>
  <c r="C9" i="39"/>
  <c r="C8" i="39"/>
  <c r="L76" i="28"/>
  <c r="U5" i="41" s="1" a="1"/>
  <c r="U5" i="41" s="1"/>
  <c r="C26" i="25"/>
  <c r="E134" i="38"/>
  <c r="E108" i="38"/>
  <c r="E92" i="38"/>
  <c r="E85" i="38"/>
  <c r="G134" i="38" s="1"/>
  <c r="K74" i="38"/>
  <c r="J74" i="38"/>
  <c r="F74" i="38"/>
  <c r="C17" i="38" s="1"/>
  <c r="E17" i="38" s="1"/>
  <c r="B21" i="38"/>
  <c r="B20" i="38"/>
  <c r="C15" i="38"/>
  <c r="G13" i="38"/>
  <c r="C13" i="38"/>
  <c r="C10" i="38"/>
  <c r="B8" i="38"/>
  <c r="H6" i="38"/>
  <c r="C4" i="38"/>
  <c r="H37" i="37"/>
  <c r="G37" i="37"/>
  <c r="F37" i="37"/>
  <c r="E37" i="37"/>
  <c r="D37" i="37"/>
  <c r="C33" i="37"/>
  <c r="C32" i="37"/>
  <c r="C29" i="37"/>
  <c r="C28" i="37"/>
  <c r="C27" i="37"/>
  <c r="C26" i="37"/>
  <c r="C25" i="37"/>
  <c r="C24" i="37"/>
  <c r="C23" i="37"/>
  <c r="C10" i="37"/>
  <c r="C9" i="37"/>
  <c r="C8" i="37"/>
  <c r="E133" i="36"/>
  <c r="E107" i="36"/>
  <c r="E91" i="36"/>
  <c r="K73" i="36"/>
  <c r="J73" i="36"/>
  <c r="F73" i="36"/>
  <c r="E19" i="36" s="1" a="1"/>
  <c r="E19" i="36" s="1"/>
  <c r="B21" i="36"/>
  <c r="B20" i="36"/>
  <c r="C15" i="36"/>
  <c r="G13" i="36"/>
  <c r="C13" i="36"/>
  <c r="C10" i="36"/>
  <c r="B8" i="36"/>
  <c r="H6" i="36"/>
  <c r="C4" i="36"/>
  <c r="H37" i="35"/>
  <c r="G37" i="35"/>
  <c r="F37" i="35"/>
  <c r="E37" i="35"/>
  <c r="D37" i="35"/>
  <c r="C33" i="35"/>
  <c r="C32" i="35"/>
  <c r="C29" i="35"/>
  <c r="C28" i="35"/>
  <c r="C27" i="35"/>
  <c r="C26" i="35"/>
  <c r="C25" i="35"/>
  <c r="C24" i="35"/>
  <c r="C23" i="35"/>
  <c r="C10" i="35"/>
  <c r="C9" i="35"/>
  <c r="C8" i="35"/>
  <c r="E131" i="34"/>
  <c r="E105" i="34"/>
  <c r="E89" i="34"/>
  <c r="E82" i="34"/>
  <c r="L71" i="34"/>
  <c r="BJ3" i="49" s="1" a="1"/>
  <c r="BJ3" i="49" s="1"/>
  <c r="K71" i="34"/>
  <c r="F71" i="34"/>
  <c r="E19" i="34" s="1" a="1"/>
  <c r="E19" i="34" s="1"/>
  <c r="B22" i="34"/>
  <c r="B21" i="34"/>
  <c r="C15" i="34"/>
  <c r="G13" i="34"/>
  <c r="C13" i="34"/>
  <c r="C10" i="34"/>
  <c r="B8" i="34"/>
  <c r="H6" i="34"/>
  <c r="C4" i="34"/>
  <c r="G1" i="21"/>
  <c r="A1" i="11"/>
  <c r="C2" i="25"/>
  <c r="C7" i="37" s="1"/>
  <c r="B4" i="37" s="1"/>
  <c r="H37" i="33"/>
  <c r="G37" i="33"/>
  <c r="F37" i="33"/>
  <c r="E37" i="33"/>
  <c r="D37" i="33"/>
  <c r="C33" i="33"/>
  <c r="C32" i="33"/>
  <c r="C29" i="33"/>
  <c r="C28" i="33"/>
  <c r="C27" i="33"/>
  <c r="C26" i="33"/>
  <c r="C25" i="33"/>
  <c r="C24" i="33"/>
  <c r="C23" i="33"/>
  <c r="C10" i="33"/>
  <c r="C9" i="33"/>
  <c r="C8" i="33"/>
  <c r="E136" i="32"/>
  <c r="E110" i="32"/>
  <c r="E94" i="32"/>
  <c r="E87" i="32"/>
  <c r="F136" i="32" s="1"/>
  <c r="L76" i="32"/>
  <c r="U5" i="46" s="1" a="1"/>
  <c r="U5" i="46" s="1"/>
  <c r="K76" i="32"/>
  <c r="F76" i="32"/>
  <c r="B22" i="32"/>
  <c r="B21" i="32"/>
  <c r="C15" i="32"/>
  <c r="G13" i="32"/>
  <c r="C13" i="32"/>
  <c r="C10" i="32"/>
  <c r="B8" i="32"/>
  <c r="H6" i="32"/>
  <c r="C4" i="32"/>
  <c r="E29" i="8"/>
  <c r="H37" i="31"/>
  <c r="G37" i="31"/>
  <c r="F37" i="31"/>
  <c r="E37" i="31"/>
  <c r="D37" i="31"/>
  <c r="C33" i="31"/>
  <c r="C32" i="31"/>
  <c r="C29" i="31"/>
  <c r="C28" i="31"/>
  <c r="C27" i="31"/>
  <c r="C26" i="31"/>
  <c r="C25" i="31"/>
  <c r="C24" i="31"/>
  <c r="C23" i="31"/>
  <c r="C10" i="31"/>
  <c r="C9" i="31"/>
  <c r="C8" i="31"/>
  <c r="E90" i="30"/>
  <c r="K72" i="30"/>
  <c r="F72" i="30"/>
  <c r="C17" i="30" s="1"/>
  <c r="E17" i="30" s="1"/>
  <c r="B22" i="30"/>
  <c r="C15" i="30"/>
  <c r="G13" i="30"/>
  <c r="C13" i="30"/>
  <c r="C10" i="30"/>
  <c r="B8" i="30"/>
  <c r="H6" i="30"/>
  <c r="C4" i="30"/>
  <c r="B22" i="28"/>
  <c r="E117" i="28"/>
  <c r="E12" i="41" s="1"/>
  <c r="K76" i="28"/>
  <c r="C4" i="28"/>
  <c r="H37" i="29"/>
  <c r="G37" i="29"/>
  <c r="F37" i="29"/>
  <c r="E37" i="29"/>
  <c r="D37" i="29"/>
  <c r="C33" i="29"/>
  <c r="C32" i="29"/>
  <c r="C29" i="29"/>
  <c r="C28" i="29"/>
  <c r="C27" i="29"/>
  <c r="C26" i="29"/>
  <c r="C25" i="29"/>
  <c r="C24" i="29"/>
  <c r="C23" i="29"/>
  <c r="C10" i="29"/>
  <c r="C9" i="29"/>
  <c r="C8" i="29"/>
  <c r="B21" i="28"/>
  <c r="C15" i="28"/>
  <c r="G13" i="28"/>
  <c r="C13" i="28"/>
  <c r="C10" i="28"/>
  <c r="B8" i="28"/>
  <c r="H6" i="28"/>
  <c r="E94" i="28"/>
  <c r="F76" i="28"/>
  <c r="C17" i="28" s="1"/>
  <c r="E17" i="28" s="1"/>
  <c r="B20" i="26"/>
  <c r="C25" i="27"/>
  <c r="C24" i="27"/>
  <c r="H33" i="27"/>
  <c r="G33" i="27"/>
  <c r="F33" i="27"/>
  <c r="E33" i="27"/>
  <c r="D33" i="27"/>
  <c r="C29" i="27"/>
  <c r="C28" i="27"/>
  <c r="C23" i="27"/>
  <c r="C22" i="27"/>
  <c r="C21" i="27"/>
  <c r="C20" i="27"/>
  <c r="C19" i="27"/>
  <c r="C11" i="27"/>
  <c r="C10" i="27"/>
  <c r="C9" i="27"/>
  <c r="C8" i="27"/>
  <c r="C15" i="26"/>
  <c r="C13" i="26"/>
  <c r="G13" i="26"/>
  <c r="C10" i="26"/>
  <c r="B8" i="26"/>
  <c r="H6" i="26"/>
  <c r="C4" i="26"/>
  <c r="G2" i="25"/>
  <c r="B10" i="46" s="1"/>
  <c r="C19" i="25"/>
  <c r="C22" i="25"/>
  <c r="J7" i="25"/>
  <c r="J6" i="25"/>
  <c r="J5" i="25"/>
  <c r="B21" i="24"/>
  <c r="C20" i="24" s="1"/>
  <c r="K8" i="22"/>
  <c r="H8" i="22"/>
  <c r="L3" i="22"/>
  <c r="L8" i="22" s="1"/>
  <c r="G3" i="22"/>
  <c r="I3" i="22" s="1"/>
  <c r="I8" i="22" s="1"/>
  <c r="J8" i="22"/>
  <c r="F8" i="22"/>
  <c r="E36" i="8"/>
  <c r="E81" i="8"/>
  <c r="G73" i="8"/>
  <c r="H73" i="8" s="1"/>
  <c r="B8" i="9"/>
  <c r="E90" i="8" s="1"/>
  <c r="B7" i="9"/>
  <c r="D8" i="10" s="1"/>
  <c r="I12" i="10" s="1"/>
  <c r="E6" i="21"/>
  <c r="C41" i="20"/>
  <c r="G34" i="20"/>
  <c r="G33" i="20"/>
  <c r="H33" i="20" s="1"/>
  <c r="G32" i="20"/>
  <c r="H32" i="20" s="1"/>
  <c r="D32" i="20"/>
  <c r="F18" i="56" s="1"/>
  <c r="G31" i="20"/>
  <c r="F31" i="20"/>
  <c r="G30" i="20"/>
  <c r="F30" i="20"/>
  <c r="G29" i="20"/>
  <c r="F29" i="20"/>
  <c r="G28" i="20"/>
  <c r="F28" i="20"/>
  <c r="G27" i="20"/>
  <c r="F27" i="20"/>
  <c r="G26" i="20"/>
  <c r="F26" i="20"/>
  <c r="G25" i="20"/>
  <c r="F25" i="20"/>
  <c r="G24" i="20"/>
  <c r="F24" i="20"/>
  <c r="U51" i="19"/>
  <c r="U53" i="19" s="1"/>
  <c r="U55" i="19" s="1"/>
  <c r="F40" i="19"/>
  <c r="E40" i="19"/>
  <c r="F39" i="19"/>
  <c r="F41" i="19" s="1"/>
  <c r="E39" i="19"/>
  <c r="E41" i="19" s="1"/>
  <c r="N38" i="19"/>
  <c r="N36" i="19"/>
  <c r="B35" i="19"/>
  <c r="N26" i="19"/>
  <c r="D24" i="19"/>
  <c r="D23" i="19"/>
  <c r="N17" i="19"/>
  <c r="N25" i="19" s="1"/>
  <c r="BQ11" i="19"/>
  <c r="BG11" i="19"/>
  <c r="AW11" i="19"/>
  <c r="AM11" i="19"/>
  <c r="AC11" i="19"/>
  <c r="S11" i="19"/>
  <c r="O11" i="19"/>
  <c r="N10" i="19"/>
  <c r="N11" i="19" s="1"/>
  <c r="S9" i="19"/>
  <c r="AC9" i="19" s="1"/>
  <c r="AM9" i="19" s="1"/>
  <c r="AW9" i="19" s="1"/>
  <c r="BG9" i="19" s="1"/>
  <c r="BQ9" i="19" s="1"/>
  <c r="BQ6" i="19"/>
  <c r="BV7" i="19" s="1"/>
  <c r="BG6" i="19"/>
  <c r="BL7" i="19" s="1"/>
  <c r="AW6" i="19"/>
  <c r="BB7" i="19" s="1"/>
  <c r="AM6" i="19"/>
  <c r="AR7" i="19" s="1"/>
  <c r="AC6" i="19"/>
  <c r="AH7" i="19" s="1"/>
  <c r="S6" i="19"/>
  <c r="X7" i="19" s="1"/>
  <c r="U51" i="18"/>
  <c r="U53" i="18" s="1"/>
  <c r="U55" i="18" s="1"/>
  <c r="F40" i="18"/>
  <c r="F41" i="18"/>
  <c r="N38" i="18"/>
  <c r="N36" i="18"/>
  <c r="B35" i="18"/>
  <c r="N26" i="18"/>
  <c r="D26" i="18"/>
  <c r="N17" i="18"/>
  <c r="N21" i="18" s="1"/>
  <c r="BQ11" i="18"/>
  <c r="BG11" i="18"/>
  <c r="AW11" i="18"/>
  <c r="AM11" i="18"/>
  <c r="AC11" i="18"/>
  <c r="S11" i="18"/>
  <c r="O11" i="18"/>
  <c r="N10" i="18"/>
  <c r="N11" i="18" s="1"/>
  <c r="S9" i="18"/>
  <c r="AC9" i="18" s="1"/>
  <c r="AM9" i="18" s="1"/>
  <c r="AW9" i="18" s="1"/>
  <c r="BG9" i="18" s="1"/>
  <c r="BQ9" i="18" s="1"/>
  <c r="BQ6" i="18"/>
  <c r="BV7" i="18" s="1"/>
  <c r="C105" i="13"/>
  <c r="C34" i="13"/>
  <c r="G15" i="10"/>
  <c r="D19" i="10" s="1"/>
  <c r="F29" i="10" s="1"/>
  <c r="A340" i="10"/>
  <c r="A339" i="10"/>
  <c r="C335" i="10"/>
  <c r="C334" i="10"/>
  <c r="C333" i="10"/>
  <c r="G317" i="10"/>
  <c r="B317" i="10"/>
  <c r="G316" i="10"/>
  <c r="B316" i="10"/>
  <c r="G305" i="10"/>
  <c r="B305" i="10"/>
  <c r="G304" i="10"/>
  <c r="B304" i="10"/>
  <c r="G293" i="10"/>
  <c r="B293" i="10"/>
  <c r="G292" i="10"/>
  <c r="B292" i="10"/>
  <c r="G281" i="10"/>
  <c r="B281" i="10"/>
  <c r="G280" i="10"/>
  <c r="B280" i="10"/>
  <c r="G269" i="10"/>
  <c r="B269" i="10"/>
  <c r="G268" i="10"/>
  <c r="B268" i="10"/>
  <c r="G265" i="10"/>
  <c r="B265" i="10"/>
  <c r="G243" i="10"/>
  <c r="B243" i="10"/>
  <c r="G242" i="10"/>
  <c r="B242" i="10"/>
  <c r="G224" i="10"/>
  <c r="B224" i="10"/>
  <c r="G223" i="10"/>
  <c r="B223" i="10"/>
  <c r="G205" i="10"/>
  <c r="B205" i="10"/>
  <c r="G204" i="10"/>
  <c r="B204" i="10"/>
  <c r="G186" i="10"/>
  <c r="B186" i="10"/>
  <c r="G185" i="10"/>
  <c r="B185" i="10"/>
  <c r="G167" i="10"/>
  <c r="B167" i="10"/>
  <c r="G166" i="10"/>
  <c r="B166" i="10"/>
  <c r="G163" i="10"/>
  <c r="B163" i="10"/>
  <c r="G162" i="10"/>
  <c r="B162" i="10"/>
  <c r="G141" i="10"/>
  <c r="B141" i="10"/>
  <c r="G140" i="10"/>
  <c r="B140" i="10"/>
  <c r="G122" i="10"/>
  <c r="B122" i="10"/>
  <c r="G121" i="10"/>
  <c r="B121" i="10"/>
  <c r="G103" i="10"/>
  <c r="B103" i="10"/>
  <c r="G102" i="10"/>
  <c r="B102" i="10"/>
  <c r="G84" i="10"/>
  <c r="B84" i="10"/>
  <c r="G83" i="10"/>
  <c r="B83" i="10"/>
  <c r="G65" i="10"/>
  <c r="B65" i="10"/>
  <c r="G64" i="10"/>
  <c r="B64" i="10"/>
  <c r="G62" i="10"/>
  <c r="B62" i="10"/>
  <c r="G61" i="10"/>
  <c r="B61" i="10"/>
  <c r="I37" i="10"/>
  <c r="H37" i="10"/>
  <c r="B315" i="10" s="1"/>
  <c r="G37" i="10"/>
  <c r="G303" i="10" s="1"/>
  <c r="F37" i="10"/>
  <c r="B291" i="10" s="1"/>
  <c r="J28" i="10"/>
  <c r="H11" i="10"/>
  <c r="EX11" i="7"/>
  <c r="EY11" i="7" s="1"/>
  <c r="EX12" i="7" s="1"/>
  <c r="EY12" i="7" s="1"/>
  <c r="D7" i="5"/>
  <c r="E7" i="5" s="1"/>
  <c r="D6" i="5" s="1"/>
  <c r="E6" i="5" s="1"/>
  <c r="DS19" i="7"/>
  <c r="K64" i="1"/>
  <c r="J64" i="1"/>
  <c r="I64" i="1"/>
  <c r="H64" i="1"/>
  <c r="G64" i="1"/>
  <c r="F64" i="1"/>
  <c r="E64" i="1"/>
  <c r="D64" i="1"/>
  <c r="C64" i="1"/>
  <c r="E23" i="4"/>
  <c r="E22" i="4"/>
  <c r="D21" i="4"/>
  <c r="C21" i="4"/>
  <c r="E20" i="4"/>
  <c r="E19" i="4"/>
  <c r="E18" i="4"/>
  <c r="D17" i="4"/>
  <c r="C17" i="4"/>
  <c r="E16" i="4"/>
  <c r="E15" i="4"/>
  <c r="E14" i="4"/>
  <c r="E13" i="4"/>
  <c r="E12" i="4"/>
  <c r="D11" i="4"/>
  <c r="C11" i="4"/>
  <c r="D9" i="4"/>
  <c r="C9" i="4"/>
  <c r="E8" i="4"/>
  <c r="E7" i="4"/>
  <c r="E6" i="4"/>
  <c r="E5" i="4"/>
  <c r="BF40" i="2"/>
  <c r="C11" i="3" s="1"/>
  <c r="C8" i="1"/>
  <c r="C6" i="1"/>
  <c r="C4" i="1"/>
  <c r="N10" i="1" s="1"/>
  <c r="C2" i="1"/>
  <c r="U15" i="1" s="1"/>
  <c r="CQ49" i="7"/>
  <c r="DS16" i="7" s="1"/>
  <c r="AA60" i="7"/>
  <c r="Z60" i="7"/>
  <c r="AA56" i="7"/>
  <c r="Z56" i="7"/>
  <c r="AA50" i="7"/>
  <c r="Z50" i="7"/>
  <c r="AA48" i="7"/>
  <c r="Z48" i="7"/>
  <c r="C6" i="7"/>
  <c r="C4" i="7"/>
  <c r="N10" i="7" s="1"/>
  <c r="C2" i="7"/>
  <c r="U15" i="7" s="1"/>
  <c r="C9" i="1"/>
  <c r="CG12" i="7"/>
  <c r="AS23" i="7"/>
  <c r="BT17" i="7" s="1"/>
  <c r="BT16" i="7" s="1"/>
  <c r="CC13" i="7"/>
  <c r="CD13" i="7" s="1"/>
  <c r="CE13" i="7" s="1"/>
  <c r="CF13" i="7" s="1"/>
  <c r="CH13" i="7" s="1"/>
  <c r="CI13" i="7" s="1"/>
  <c r="CJ13" i="7" s="1"/>
  <c r="CK13" i="7" s="1"/>
  <c r="Y17" i="7"/>
  <c r="Y21" i="7"/>
  <c r="N31" i="7"/>
  <c r="P17" i="7"/>
  <c r="P21" i="7"/>
  <c r="P31" i="7"/>
  <c r="R17" i="7"/>
  <c r="R21" i="7"/>
  <c r="R31" i="7"/>
  <c r="T21" i="7"/>
  <c r="T31" i="7"/>
  <c r="V17" i="7"/>
  <c r="V21" i="7"/>
  <c r="V31" i="7"/>
  <c r="X17" i="7"/>
  <c r="X21" i="7"/>
  <c r="X31" i="7"/>
  <c r="N48" i="7"/>
  <c r="O48" i="7"/>
  <c r="P48" i="7"/>
  <c r="Q48" i="7"/>
  <c r="R48" i="7"/>
  <c r="S48" i="7"/>
  <c r="T48" i="7"/>
  <c r="R56" i="7"/>
  <c r="R58" i="7" s="1"/>
  <c r="S56" i="7"/>
  <c r="S58" i="7" s="1"/>
  <c r="T56" i="7"/>
  <c r="T58" i="7" s="1"/>
  <c r="N58" i="7"/>
  <c r="O58" i="7"/>
  <c r="P58" i="7"/>
  <c r="Q58" i="7"/>
  <c r="S31" i="7"/>
  <c r="H49" i="7"/>
  <c r="H55" i="7"/>
  <c r="H58" i="7"/>
  <c r="H61" i="7"/>
  <c r="CR15" i="7"/>
  <c r="C19" i="7"/>
  <c r="C27" i="7"/>
  <c r="C33" i="7"/>
  <c r="C42" i="7"/>
  <c r="C39" i="7" s="1"/>
  <c r="D19" i="7"/>
  <c r="D27" i="7"/>
  <c r="D33" i="7"/>
  <c r="D42" i="7"/>
  <c r="D39" i="7" s="1"/>
  <c r="E19" i="7"/>
  <c r="E27" i="7"/>
  <c r="E33" i="7"/>
  <c r="E42" i="7"/>
  <c r="E39" i="7" s="1"/>
  <c r="F19" i="7"/>
  <c r="F27" i="7"/>
  <c r="F33" i="7"/>
  <c r="F42" i="7"/>
  <c r="F39" i="7" s="1"/>
  <c r="G19" i="7"/>
  <c r="G27" i="7"/>
  <c r="G33" i="7"/>
  <c r="G42" i="7"/>
  <c r="G39" i="7" s="1"/>
  <c r="H19" i="7"/>
  <c r="H27" i="7"/>
  <c r="H33" i="7"/>
  <c r="H42" i="7"/>
  <c r="H39" i="7" s="1"/>
  <c r="I19" i="7"/>
  <c r="I27" i="7"/>
  <c r="I33" i="7"/>
  <c r="I42" i="7"/>
  <c r="I39" i="7" s="1"/>
  <c r="J19" i="7"/>
  <c r="J27" i="7"/>
  <c r="J33" i="7"/>
  <c r="J42" i="7"/>
  <c r="J39" i="7" s="1"/>
  <c r="K19" i="7"/>
  <c r="K27" i="7"/>
  <c r="K33" i="7"/>
  <c r="K42" i="7"/>
  <c r="K39" i="7" s="1"/>
  <c r="O17" i="7"/>
  <c r="Q17" i="7"/>
  <c r="U17" i="7"/>
  <c r="W17" i="7"/>
  <c r="Z17" i="7"/>
  <c r="AA17" i="7"/>
  <c r="AB17" i="7"/>
  <c r="AC17" i="7"/>
  <c r="AD17" i="7"/>
  <c r="AE17" i="7"/>
  <c r="BE17" i="7"/>
  <c r="BE18" i="7"/>
  <c r="O21" i="7"/>
  <c r="Q21" i="7"/>
  <c r="U21" i="7"/>
  <c r="W21" i="7"/>
  <c r="Z21" i="7"/>
  <c r="AA21" i="7"/>
  <c r="AB21" i="7"/>
  <c r="AC21" i="7"/>
  <c r="AD21" i="7"/>
  <c r="AE21" i="7"/>
  <c r="O31" i="7"/>
  <c r="Q31" i="7"/>
  <c r="U31" i="7"/>
  <c r="W31" i="7"/>
  <c r="Y31" i="7"/>
  <c r="Z31" i="7"/>
  <c r="AA31" i="7"/>
  <c r="AB31" i="7"/>
  <c r="AC31" i="7"/>
  <c r="AD31" i="7"/>
  <c r="AE31" i="7"/>
  <c r="C49" i="7"/>
  <c r="C55" i="7"/>
  <c r="C58" i="7"/>
  <c r="C61" i="7"/>
  <c r="C64" i="7"/>
  <c r="D49" i="7"/>
  <c r="D55" i="7"/>
  <c r="D58" i="7"/>
  <c r="D61" i="7"/>
  <c r="E49" i="7"/>
  <c r="E55" i="7"/>
  <c r="E58" i="7"/>
  <c r="E61" i="7"/>
  <c r="F49" i="7"/>
  <c r="F55" i="7"/>
  <c r="F58" i="7"/>
  <c r="F61" i="7"/>
  <c r="G49" i="7"/>
  <c r="G55" i="7"/>
  <c r="G58" i="7"/>
  <c r="G61" i="7"/>
  <c r="I49" i="7"/>
  <c r="I55" i="7"/>
  <c r="I58" i="7"/>
  <c r="I61" i="7"/>
  <c r="I64" i="7"/>
  <c r="J49" i="7"/>
  <c r="J55" i="7"/>
  <c r="J58" i="7"/>
  <c r="J61" i="7"/>
  <c r="J64" i="7"/>
  <c r="K49" i="7"/>
  <c r="K55" i="7"/>
  <c r="K58" i="7"/>
  <c r="K61" i="7"/>
  <c r="K64" i="7"/>
  <c r="AE17" i="1"/>
  <c r="AE21" i="1"/>
  <c r="AE31" i="1"/>
  <c r="AD17" i="1"/>
  <c r="AD21" i="1"/>
  <c r="AD31" i="1"/>
  <c r="O3" i="2"/>
  <c r="C15" i="2"/>
  <c r="H15" i="2" s="1"/>
  <c r="AI9" i="2" s="1"/>
  <c r="AI12" i="2" s="1"/>
  <c r="T9" i="2"/>
  <c r="BP28" i="2"/>
  <c r="BG7" i="2"/>
  <c r="AV4" i="2"/>
  <c r="AR5" i="2"/>
  <c r="AS5" i="2" s="1"/>
  <c r="AT5" i="2" s="1"/>
  <c r="AU5" i="2" s="1"/>
  <c r="AW5" i="2" s="1"/>
  <c r="AX5" i="2" s="1"/>
  <c r="AY5" i="2" s="1"/>
  <c r="AZ5" i="2" s="1"/>
  <c r="R2" i="2"/>
  <c r="T10" i="2"/>
  <c r="D64" i="7"/>
  <c r="AR23" i="7"/>
  <c r="BR17" i="7" s="1"/>
  <c r="BR15" i="7" s="1"/>
  <c r="AO23" i="7"/>
  <c r="AQ23" i="7"/>
  <c r="BP17" i="7" s="1"/>
  <c r="AP23" i="7"/>
  <c r="BN18" i="7" s="1"/>
  <c r="BN17" i="7" s="1"/>
  <c r="E64" i="7"/>
  <c r="F64" i="7"/>
  <c r="G64" i="7"/>
  <c r="H64" i="7"/>
  <c r="BC10" i="7"/>
  <c r="E84" i="36"/>
  <c r="G133" i="36" s="1"/>
  <c r="H10" i="42"/>
  <c r="H11" i="42"/>
  <c r="H9" i="42"/>
  <c r="H7" i="42"/>
  <c r="X8" i="47"/>
  <c r="H10" i="43"/>
  <c r="X6" i="43"/>
  <c r="H9" i="47"/>
  <c r="H7" i="47"/>
  <c r="X6" i="47"/>
  <c r="H7" i="43"/>
  <c r="H8" i="42"/>
  <c r="X7" i="43"/>
  <c r="H10" i="47"/>
  <c r="H11" i="43"/>
  <c r="X7" i="47"/>
  <c r="X8" i="43"/>
  <c r="H11" i="47"/>
  <c r="H8" i="47"/>
  <c r="H8" i="43"/>
  <c r="H9" i="43"/>
  <c r="U4" i="42"/>
  <c r="U5" i="42"/>
  <c r="H11" i="49"/>
  <c r="X6" i="49"/>
  <c r="X8" i="49"/>
  <c r="H10" i="49"/>
  <c r="X7" i="49"/>
  <c r="H7" i="49"/>
  <c r="H9" i="49"/>
  <c r="H8" i="49"/>
  <c r="R5" i="41" a="1"/>
  <c r="R5" i="41" s="1"/>
  <c r="T5" i="41" a="1"/>
  <c r="T5" i="41" s="1"/>
  <c r="I3" i="42" a="1"/>
  <c r="I3" i="42" s="1"/>
  <c r="H3" i="42" s="1"/>
  <c r="J3" i="42" a="1"/>
  <c r="J3" i="42" s="1"/>
  <c r="K3" i="42" a="1"/>
  <c r="M3" i="42" a="1"/>
  <c r="M3" i="42" s="1"/>
  <c r="R3" i="42" a="1"/>
  <c r="R3" i="42" s="1"/>
  <c r="S3" i="42" a="1"/>
  <c r="S3" i="42" s="1"/>
  <c r="T3" i="42" a="1"/>
  <c r="T3" i="42" s="1"/>
  <c r="U6" i="42"/>
  <c r="X3" i="42" a="1"/>
  <c r="X3" i="42" s="1"/>
  <c r="R5" i="45" a="1"/>
  <c r="R5" i="45" s="1"/>
  <c r="T5" i="45" a="1"/>
  <c r="T5" i="45" s="1"/>
  <c r="I3" i="43" a="1"/>
  <c r="I3" i="43" s="1"/>
  <c r="J3" i="43" a="1"/>
  <c r="J3" i="43" s="1"/>
  <c r="K3" i="43" a="1"/>
  <c r="M3" i="43" a="1"/>
  <c r="M3" i="43" s="1"/>
  <c r="Y3" i="43" a="1"/>
  <c r="Y3" i="43" s="1"/>
  <c r="X3" i="43" s="1"/>
  <c r="Z3" i="43" a="1"/>
  <c r="Z3" i="43" s="1"/>
  <c r="AA3" i="43" a="1"/>
  <c r="AA3" i="43" s="1"/>
  <c r="AC3" i="43" a="1"/>
  <c r="AC3" i="43" s="1"/>
  <c r="AG3" i="43" a="1"/>
  <c r="AG3" i="43" s="1"/>
  <c r="AH3" i="43" a="1"/>
  <c r="AH3" i="43" s="1"/>
  <c r="AI3" i="43" a="1"/>
  <c r="AI3" i="43" s="1"/>
  <c r="AJ3" i="43" s="1"/>
  <c r="AJ4" i="43"/>
  <c r="AM3" i="43" a="1"/>
  <c r="AM3" i="43" s="1"/>
  <c r="R5" i="46" a="1"/>
  <c r="R5" i="46" s="1"/>
  <c r="T5" i="46" a="1"/>
  <c r="T5" i="46" s="1"/>
  <c r="I3" i="47" a="1"/>
  <c r="I3" i="47" s="1"/>
  <c r="H3" i="47" s="1"/>
  <c r="J3" i="47" a="1"/>
  <c r="J3" i="47" s="1"/>
  <c r="K3" i="47" a="1"/>
  <c r="M3" i="47" a="1"/>
  <c r="M3" i="47" s="1"/>
  <c r="Y3" i="47" a="1"/>
  <c r="Y3" i="47" s="1"/>
  <c r="X3" i="47" s="1"/>
  <c r="Z3" i="47" a="1"/>
  <c r="Z3" i="47" s="1"/>
  <c r="AA3" i="47" a="1"/>
  <c r="AA3" i="47" s="1"/>
  <c r="AC3" i="47" a="1"/>
  <c r="AC3" i="47" s="1"/>
  <c r="AO3" i="47" a="1"/>
  <c r="AO3" i="47" s="1"/>
  <c r="AN3" i="47" s="1"/>
  <c r="AP3" i="47" a="1"/>
  <c r="AP3" i="47" s="1"/>
  <c r="AQ3" i="47" a="1"/>
  <c r="AQ3" i="47" s="1"/>
  <c r="AS3" i="47" a="1"/>
  <c r="AS3" i="47" s="1"/>
  <c r="AX3" i="47" a="1"/>
  <c r="AX3" i="47" s="1"/>
  <c r="AY3" i="47" a="1"/>
  <c r="AY3" i="47" s="1"/>
  <c r="AZ3" i="47" a="1"/>
  <c r="AZ3" i="47" s="1"/>
  <c r="BA3" i="47" s="1"/>
  <c r="BE3" i="47" a="1"/>
  <c r="BE3" i="47" s="1"/>
  <c r="R5" i="48" a="1"/>
  <c r="R5" i="48" s="1"/>
  <c r="T5" i="48" a="1"/>
  <c r="T5" i="48" s="1"/>
  <c r="B14" i="29" a="1"/>
  <c r="B14" i="29" s="1"/>
  <c r="H6" i="42"/>
  <c r="H5" i="42"/>
  <c r="H5" i="47"/>
  <c r="X5" i="43"/>
  <c r="H4" i="42"/>
  <c r="X4" i="47"/>
  <c r="X5" i="47"/>
  <c r="X4" i="43"/>
  <c r="BA5" i="47"/>
  <c r="H4" i="47"/>
  <c r="H6" i="47"/>
  <c r="BA4" i="47"/>
  <c r="H4" i="43"/>
  <c r="H6" i="43"/>
  <c r="H5" i="43"/>
  <c r="AJ5" i="43"/>
  <c r="B14" i="31" a="1"/>
  <c r="B14" i="31" s="1"/>
  <c r="B14" i="33" a="1"/>
  <c r="B14" i="33" s="1"/>
  <c r="B14" i="35" a="1"/>
  <c r="B14" i="35" s="1"/>
  <c r="I3" i="49" a="1"/>
  <c r="I3" i="49" s="1"/>
  <c r="H3" i="49" s="1"/>
  <c r="J3" i="49" a="1"/>
  <c r="J3" i="49" s="1"/>
  <c r="K3" i="49" a="1"/>
  <c r="M3" i="49" a="1"/>
  <c r="M3" i="49" s="1"/>
  <c r="Y3" i="49" a="1"/>
  <c r="Y3" i="49" s="1"/>
  <c r="X3" i="49" s="1"/>
  <c r="Z3" i="49" a="1"/>
  <c r="Z3" i="49" s="1"/>
  <c r="AA3" i="49" a="1"/>
  <c r="AA3" i="49" s="1"/>
  <c r="AC3" i="49" a="1"/>
  <c r="AC3" i="49" s="1"/>
  <c r="AO3" i="49" a="1"/>
  <c r="AO3" i="49" s="1"/>
  <c r="AN3" i="49" s="1"/>
  <c r="AP3" i="49" a="1"/>
  <c r="AP3" i="49" s="1"/>
  <c r="AQ3" i="49" a="1"/>
  <c r="AQ3" i="49" s="1"/>
  <c r="AS3" i="49" a="1"/>
  <c r="AS3" i="49" s="1"/>
  <c r="BE3" i="49" a="1"/>
  <c r="BE3" i="49" s="1"/>
  <c r="BF3" i="49" a="1"/>
  <c r="BF3" i="49" s="1"/>
  <c r="BG3" i="49" a="1"/>
  <c r="BI3" i="49" a="1"/>
  <c r="BI3" i="49" s="1"/>
  <c r="BN3" i="49" a="1"/>
  <c r="BN3" i="49" s="1"/>
  <c r="BO3" i="49" a="1"/>
  <c r="BO3" i="49" s="1"/>
  <c r="BP3" i="49" a="1"/>
  <c r="BP3" i="49" s="1"/>
  <c r="BQ3" i="49" s="1"/>
  <c r="BU3" i="49" a="1"/>
  <c r="BU3" i="49" s="1"/>
  <c r="BQ5" i="49"/>
  <c r="X5" i="49"/>
  <c r="H6" i="49"/>
  <c r="X4" i="49"/>
  <c r="H5" i="49"/>
  <c r="H4" i="49"/>
  <c r="BQ4" i="49"/>
  <c r="L72" i="30"/>
  <c r="AD3" i="43" s="1" a="1"/>
  <c r="AD3" i="43" s="1"/>
  <c r="G13" i="50"/>
  <c r="H34" i="13"/>
  <c r="AZ11" i="7"/>
  <c r="E57" i="8"/>
  <c r="D13" i="13"/>
  <c r="F5" i="24" s="1"/>
  <c r="D10" i="21" s="1"/>
  <c r="AD44" i="7"/>
  <c r="C5" i="9"/>
  <c r="BK28" i="2"/>
  <c r="BK32" i="2" s="1"/>
  <c r="EE6" i="7"/>
  <c r="B16" i="27" a="1"/>
  <c r="B102" i="38" a="1"/>
  <c r="D19" i="24" l="1" a="1"/>
  <c r="D19" i="24" s="1"/>
  <c r="I16" i="21" s="1"/>
  <c r="D18" i="24" a="1"/>
  <c r="D18" i="24" s="1"/>
  <c r="I10" i="21" s="1"/>
  <c r="D17" i="24" a="1"/>
  <c r="D17" i="24" s="1"/>
  <c r="I6" i="21" s="1"/>
  <c r="D20" i="24" a="1"/>
  <c r="D20" i="24" s="1"/>
  <c r="I20" i="21" s="1"/>
  <c r="C37" i="56"/>
  <c r="C36" i="56"/>
  <c r="G18" i="56"/>
  <c r="C19" i="56"/>
  <c r="C23" i="56" s="1"/>
  <c r="U24" i="20"/>
  <c r="W24" i="20" s="1"/>
  <c r="U12" i="20"/>
  <c r="V24" i="20"/>
  <c r="W30" i="1"/>
  <c r="N29" i="19"/>
  <c r="O30" i="1"/>
  <c r="O35" i="1" s="1"/>
  <c r="O37" i="1" s="1"/>
  <c r="N30" i="1"/>
  <c r="N35" i="1" s="1"/>
  <c r="N37" i="1" s="1"/>
  <c r="BI28" i="2"/>
  <c r="BI32" i="2" s="1"/>
  <c r="X30" i="1"/>
  <c r="X35" i="1" s="1"/>
  <c r="X37" i="1" s="1"/>
  <c r="AB30" i="1"/>
  <c r="BG7" i="19"/>
  <c r="BI27" i="2"/>
  <c r="BI31" i="2" s="1"/>
  <c r="BK27" i="2"/>
  <c r="BK31" i="2" s="1"/>
  <c r="R30" i="1"/>
  <c r="R35" i="1" s="1"/>
  <c r="R37" i="1" s="1"/>
  <c r="S30" i="1"/>
  <c r="S35" i="1" s="1"/>
  <c r="S37" i="1" s="1"/>
  <c r="B4" i="18"/>
  <c r="AM7" i="19"/>
  <c r="AA30" i="1"/>
  <c r="AA35" i="1" s="1"/>
  <c r="AA37" i="1" s="1"/>
  <c r="BQ7" i="19"/>
  <c r="C14" i="1"/>
  <c r="C15" i="1" s="1"/>
  <c r="C13" i="1" s="1"/>
  <c r="L3" i="49" a="1"/>
  <c r="L3" i="49" s="1"/>
  <c r="AT3" i="47" a="1"/>
  <c r="AT3" i="47" s="1"/>
  <c r="A341" i="10"/>
  <c r="A342" i="10" s="1"/>
  <c r="B339" i="10" s="1"/>
  <c r="E19" i="30" a="1"/>
  <c r="E19" i="30" s="1"/>
  <c r="S5" i="46" a="1"/>
  <c r="S5" i="46" s="1"/>
  <c r="H40" i="27"/>
  <c r="CV35" i="7"/>
  <c r="CV39" i="7" s="1"/>
  <c r="L3" i="47" a="1"/>
  <c r="L3" i="47" s="1"/>
  <c r="E40" i="27"/>
  <c r="C17" i="36"/>
  <c r="E17" i="36" s="1"/>
  <c r="F40" i="27"/>
  <c r="N3" i="42" a="1"/>
  <c r="N3" i="42" s="1"/>
  <c r="C37" i="27"/>
  <c r="S5" i="41" a="1"/>
  <c r="S5" i="41" s="1"/>
  <c r="L3" i="43" a="1"/>
  <c r="L3" i="43" s="1"/>
  <c r="E37" i="27"/>
  <c r="G40" i="27"/>
  <c r="D40" i="27"/>
  <c r="E19" i="38" a="1"/>
  <c r="E19" i="38" s="1"/>
  <c r="N30" i="7"/>
  <c r="N35" i="7" s="1"/>
  <c r="N37" i="7" s="1"/>
  <c r="C14" i="7"/>
  <c r="C15" i="7" s="1"/>
  <c r="C13" i="7" s="1"/>
  <c r="DP19" i="7" s="1"/>
  <c r="AB60" i="7"/>
  <c r="AC7" i="19"/>
  <c r="C7" i="31"/>
  <c r="B4" i="31" s="1"/>
  <c r="AW7" i="19"/>
  <c r="N41" i="19"/>
  <c r="S7" i="19"/>
  <c r="AB56" i="7"/>
  <c r="BT21" i="7"/>
  <c r="BT20" i="7"/>
  <c r="G291" i="10"/>
  <c r="C21" i="24"/>
  <c r="F15" i="2"/>
  <c r="AE9" i="2" s="1"/>
  <c r="AE13" i="2" s="1"/>
  <c r="N3" i="47" a="1"/>
  <c r="N3" i="47" s="1"/>
  <c r="L3" i="42" a="1"/>
  <c r="L3" i="42" s="1"/>
  <c r="E15" i="2"/>
  <c r="AC10" i="2" s="1"/>
  <c r="AC13" i="2" s="1"/>
  <c r="N3" i="49" a="1"/>
  <c r="N3" i="49" s="1"/>
  <c r="E87" i="28"/>
  <c r="F117" i="28" s="1"/>
  <c r="N3" i="43" a="1"/>
  <c r="N3" i="43" s="1"/>
  <c r="H54" i="7"/>
  <c r="H48" i="7" s="1"/>
  <c r="G187" i="10"/>
  <c r="G201" i="10" s="1"/>
  <c r="H28" i="20"/>
  <c r="B17" i="18" s="1"/>
  <c r="S30" i="7"/>
  <c r="S35" i="7" s="1"/>
  <c r="S37" i="7" s="1"/>
  <c r="G18" i="1"/>
  <c r="G16" i="1" s="1"/>
  <c r="F133" i="36"/>
  <c r="AB48" i="7"/>
  <c r="B17" i="11" s="1"/>
  <c r="AD30" i="7"/>
  <c r="AD35" i="7" s="1"/>
  <c r="AD37" i="7" s="1"/>
  <c r="C17" i="24"/>
  <c r="I54" i="7"/>
  <c r="I48" i="7" s="1"/>
  <c r="F54" i="7"/>
  <c r="F48" i="7" s="1"/>
  <c r="J54" i="1"/>
  <c r="J48" i="1" s="1"/>
  <c r="B303" i="10"/>
  <c r="D24" i="4"/>
  <c r="G8" i="22"/>
  <c r="B85" i="10"/>
  <c r="B99" i="10" s="1"/>
  <c r="J18" i="1"/>
  <c r="J16" i="1" s="1"/>
  <c r="Y35" i="1"/>
  <c r="Y37" i="1" s="1"/>
  <c r="G18" i="7"/>
  <c r="G16" i="7" s="1"/>
  <c r="X30" i="7"/>
  <c r="X35" i="7" s="1"/>
  <c r="X37" i="7" s="1"/>
  <c r="R30" i="7"/>
  <c r="R35" i="7" s="1"/>
  <c r="R37" i="7" s="1"/>
  <c r="Q35" i="1"/>
  <c r="Q37" i="1" s="1"/>
  <c r="N37" i="19"/>
  <c r="N40" i="19" s="1"/>
  <c r="E9" i="51"/>
  <c r="G142" i="10"/>
  <c r="G156" i="10" s="1"/>
  <c r="I18" i="1"/>
  <c r="I16" i="1" s="1"/>
  <c r="N25" i="18"/>
  <c r="N27" i="18" s="1"/>
  <c r="F18" i="7"/>
  <c r="F16" i="7" s="1"/>
  <c r="B123" i="10"/>
  <c r="B137" i="10" s="1"/>
  <c r="B187" i="10"/>
  <c r="B201" i="10" s="1"/>
  <c r="AB35" i="1"/>
  <c r="AB37" i="1" s="1"/>
  <c r="U35" i="1"/>
  <c r="U37" i="1" s="1"/>
  <c r="G85" i="10"/>
  <c r="G99" i="10" s="1"/>
  <c r="G225" i="10"/>
  <c r="G239" i="10" s="1"/>
  <c r="G294" i="10"/>
  <c r="G298" i="10" s="1"/>
  <c r="BT14" i="7"/>
  <c r="C7" i="39"/>
  <c r="B4" i="39" s="1"/>
  <c r="C19" i="24"/>
  <c r="CV37" i="7"/>
  <c r="CV41" i="7" s="1"/>
  <c r="F18" i="1"/>
  <c r="F16" i="1" s="1"/>
  <c r="U5" i="45" a="1"/>
  <c r="U5" i="45" s="1"/>
  <c r="V30" i="7"/>
  <c r="V35" i="7" s="1"/>
  <c r="V37" i="7" s="1"/>
  <c r="CV36" i="7"/>
  <c r="CV40" i="7" s="1"/>
  <c r="G306" i="10"/>
  <c r="G310" i="10" s="1"/>
  <c r="G15" i="2"/>
  <c r="AG9" i="2" s="1"/>
  <c r="AG6" i="2" s="1"/>
  <c r="H4" i="36"/>
  <c r="H4" i="30"/>
  <c r="C18" i="24"/>
  <c r="AD30" i="1"/>
  <c r="AD35" i="1" s="1"/>
  <c r="AD37" i="1" s="1"/>
  <c r="Z30" i="7"/>
  <c r="Z35" i="7" s="1"/>
  <c r="Z37" i="7" s="1"/>
  <c r="H18" i="7"/>
  <c r="H16" i="7" s="1"/>
  <c r="K18" i="1"/>
  <c r="K16" i="1" s="1"/>
  <c r="AB50" i="7"/>
  <c r="T30" i="7"/>
  <c r="T35" i="7" s="1"/>
  <c r="T37" i="7" s="1"/>
  <c r="W35" i="1"/>
  <c r="W37" i="1" s="1"/>
  <c r="C18" i="1"/>
  <c r="BE27" i="2" s="1"/>
  <c r="BE31" i="2" s="1"/>
  <c r="D15" i="2"/>
  <c r="H4" i="34"/>
  <c r="H4" i="38"/>
  <c r="U5" i="48" a="1"/>
  <c r="U5" i="48" s="1"/>
  <c r="Q30" i="7"/>
  <c r="Q35" i="7" s="1"/>
  <c r="Q37" i="7" s="1"/>
  <c r="AA30" i="7"/>
  <c r="AA35" i="7" s="1"/>
  <c r="AA37" i="7" s="1"/>
  <c r="E9" i="4"/>
  <c r="E11" i="4"/>
  <c r="E17" i="4"/>
  <c r="B282" i="10"/>
  <c r="B33" i="20"/>
  <c r="C7" i="35"/>
  <c r="B4" i="35" s="1"/>
  <c r="H4" i="26"/>
  <c r="F4" i="10"/>
  <c r="I11" i="10" s="1"/>
  <c r="I13" i="10" s="1"/>
  <c r="C7" i="27"/>
  <c r="B4" i="27" s="1"/>
  <c r="C7" i="29"/>
  <c r="B4" i="29" s="1"/>
  <c r="E54" i="7"/>
  <c r="E48" i="7" s="1"/>
  <c r="CR37" i="7" s="1"/>
  <c r="CR41" i="7" s="1"/>
  <c r="C54" i="7"/>
  <c r="C48" i="7" s="1"/>
  <c r="CR35" i="7" s="1"/>
  <c r="CR39" i="7" s="1"/>
  <c r="AC30" i="7"/>
  <c r="AC35" i="7" s="1"/>
  <c r="AC37" i="7" s="1"/>
  <c r="W30" i="7"/>
  <c r="W35" i="7" s="1"/>
  <c r="W37" i="7" s="1"/>
  <c r="E18" i="7"/>
  <c r="E16" i="7" s="1"/>
  <c r="H4" i="28"/>
  <c r="K54" i="7"/>
  <c r="K48" i="7" s="1"/>
  <c r="G104" i="10"/>
  <c r="G118" i="10" s="1"/>
  <c r="G206" i="10"/>
  <c r="G220" i="10" s="1"/>
  <c r="G318" i="10"/>
  <c r="G322" i="10" s="1"/>
  <c r="CT37" i="7"/>
  <c r="CT41" i="7" s="1"/>
  <c r="G123" i="10"/>
  <c r="G137" i="10" s="1"/>
  <c r="E20" i="30" a="1"/>
  <c r="E20" i="30" s="1"/>
  <c r="B104" i="32" s="1"/>
  <c r="G66" i="10"/>
  <c r="B294" i="10"/>
  <c r="B113" i="28"/>
  <c r="G113" i="28" s="1" a="1"/>
  <c r="G113" i="28" s="1"/>
  <c r="E14" i="50"/>
  <c r="T30" i="1"/>
  <c r="T35" i="1" s="1"/>
  <c r="T37" i="1" s="1"/>
  <c r="V30" i="1"/>
  <c r="V35" i="1" s="1"/>
  <c r="V37" i="1" s="1"/>
  <c r="E18" i="1"/>
  <c r="BI29" i="2"/>
  <c r="BI33" i="2" s="1"/>
  <c r="N21" i="19"/>
  <c r="N27" i="19" s="1"/>
  <c r="AR3" i="49" a="1"/>
  <c r="AR3" i="49" s="1"/>
  <c r="I54" i="1"/>
  <c r="I48" i="1" s="1"/>
  <c r="AB3" i="47" a="1"/>
  <c r="AB3" i="47" s="1"/>
  <c r="AR3" i="47" a="1"/>
  <c r="AR3" i="47" s="1"/>
  <c r="BH3" i="49" a="1"/>
  <c r="BH3" i="49" s="1"/>
  <c r="G282" i="10"/>
  <c r="S5" i="48" a="1"/>
  <c r="S5" i="48" s="1"/>
  <c r="D18" i="7"/>
  <c r="CP36" i="7" s="1"/>
  <c r="CP40" i="7" s="1"/>
  <c r="Z63" i="7"/>
  <c r="C24" i="4"/>
  <c r="E21" i="4"/>
  <c r="B104" i="10"/>
  <c r="B118" i="10" s="1"/>
  <c r="B142" i="10"/>
  <c r="B156" i="10" s="1"/>
  <c r="B168" i="10"/>
  <c r="BR21" i="7"/>
  <c r="BK29" i="2"/>
  <c r="BK33" i="2" s="1"/>
  <c r="AT3" i="49" a="1"/>
  <c r="AT3" i="49" s="1"/>
  <c r="AE30" i="1"/>
  <c r="AE35" i="1" s="1"/>
  <c r="AE37" i="1" s="1"/>
  <c r="J54" i="7"/>
  <c r="J48" i="7" s="1"/>
  <c r="U30" i="7"/>
  <c r="U35" i="7" s="1"/>
  <c r="U37" i="7" s="1"/>
  <c r="AB30" i="7"/>
  <c r="AB35" i="7" s="1"/>
  <c r="AB37" i="7" s="1"/>
  <c r="I18" i="7"/>
  <c r="I16" i="7" s="1"/>
  <c r="D18" i="1"/>
  <c r="BE28" i="2" s="1"/>
  <c r="BE32" i="2" s="1"/>
  <c r="P35" i="1"/>
  <c r="P37" i="1" s="1"/>
  <c r="BP18" i="7"/>
  <c r="BP16" i="7"/>
  <c r="BP13" i="7"/>
  <c r="BP20" i="7"/>
  <c r="BR14" i="7"/>
  <c r="N37" i="18"/>
  <c r="N39" i="18" s="1"/>
  <c r="F134" i="38"/>
  <c r="BR19" i="7"/>
  <c r="G54" i="7"/>
  <c r="G48" i="7" s="1"/>
  <c r="CT35" i="7"/>
  <c r="CT39" i="7" s="1"/>
  <c r="AE30" i="7"/>
  <c r="AE35" i="7" s="1"/>
  <c r="AE37" i="7" s="1"/>
  <c r="K18" i="7"/>
  <c r="K16" i="7" s="1"/>
  <c r="P30" i="7"/>
  <c r="P35" i="7" s="1"/>
  <c r="P37" i="7" s="1"/>
  <c r="AC30" i="1"/>
  <c r="AC35" i="1" s="1"/>
  <c r="AC37" i="1" s="1"/>
  <c r="BR16" i="7"/>
  <c r="CT36" i="7"/>
  <c r="CT40" i="7" s="1"/>
  <c r="H29" i="10"/>
  <c r="B263" i="10"/>
  <c r="B296" i="10" s="1"/>
  <c r="G60" i="10"/>
  <c r="B66" i="10"/>
  <c r="B206" i="10"/>
  <c r="B220" i="10" s="1"/>
  <c r="B244" i="10"/>
  <c r="B258" i="10" s="1"/>
  <c r="B161" i="10"/>
  <c r="B170" i="10" s="1"/>
  <c r="BR18" i="7"/>
  <c r="G263" i="10"/>
  <c r="G136" i="32"/>
  <c r="B60" i="10"/>
  <c r="B105" i="10" s="1"/>
  <c r="B225" i="10"/>
  <c r="B239" i="10" s="1"/>
  <c r="D26" i="19"/>
  <c r="G161" i="10"/>
  <c r="G189" i="10" s="1"/>
  <c r="H18" i="1"/>
  <c r="H16" i="1" s="1"/>
  <c r="BR13" i="7"/>
  <c r="D54" i="7"/>
  <c r="D48" i="7" s="1"/>
  <c r="CR36" i="7" s="1"/>
  <c r="CR40" i="7" s="1"/>
  <c r="O30" i="7"/>
  <c r="O35" i="7" s="1"/>
  <c r="O37" i="7" s="1"/>
  <c r="Z30" i="1"/>
  <c r="Z35" i="1" s="1"/>
  <c r="Z37" i="1" s="1"/>
  <c r="BR20" i="7"/>
  <c r="I29" i="10"/>
  <c r="G29" i="10"/>
  <c r="AA63" i="7"/>
  <c r="AI8" i="2"/>
  <c r="AI7" i="2"/>
  <c r="AI10" i="2"/>
  <c r="AI6" i="2"/>
  <c r="AI5" i="2"/>
  <c r="AI13" i="2"/>
  <c r="AI11" i="2"/>
  <c r="BN13" i="7"/>
  <c r="BJ17" i="7" s="1"/>
  <c r="BN15" i="7"/>
  <c r="BN21" i="7"/>
  <c r="BN14" i="7"/>
  <c r="BN16" i="7"/>
  <c r="BN19" i="7"/>
  <c r="B318" i="10"/>
  <c r="B270" i="10"/>
  <c r="B306" i="10"/>
  <c r="G270" i="10"/>
  <c r="AK3" i="43" a="1"/>
  <c r="AK3" i="43" s="1"/>
  <c r="AN3" i="43" s="1"/>
  <c r="BP14" i="7"/>
  <c r="BP19" i="7"/>
  <c r="BP21" i="7"/>
  <c r="BP15" i="7"/>
  <c r="BT18" i="7"/>
  <c r="BT13" i="7"/>
  <c r="BT19" i="7"/>
  <c r="BT15" i="7"/>
  <c r="AB3" i="43" a="1"/>
  <c r="AB3" i="43" s="1"/>
  <c r="AB3" i="49" a="1"/>
  <c r="AB3" i="49" s="1"/>
  <c r="AD3" i="49" a="1"/>
  <c r="AD3" i="49" s="1"/>
  <c r="AD3" i="47" a="1"/>
  <c r="AD3" i="47" s="1"/>
  <c r="BN20" i="7"/>
  <c r="S5" i="45" a="1"/>
  <c r="S5" i="45" s="1"/>
  <c r="N28" i="19"/>
  <c r="N33" i="19"/>
  <c r="H26" i="20"/>
  <c r="H24" i="20"/>
  <c r="H25" i="20"/>
  <c r="H27" i="20"/>
  <c r="BB3" i="47" a="1"/>
  <c r="BB3" i="47" s="1"/>
  <c r="E19" i="28" a="1"/>
  <c r="E19" i="28" s="1"/>
  <c r="F19" i="28" s="1"/>
  <c r="E20" i="28" a="1"/>
  <c r="E20" i="28" s="1"/>
  <c r="B100" i="30" s="1"/>
  <c r="E20" i="34" a="1"/>
  <c r="E20" i="34" s="1"/>
  <c r="C17" i="34"/>
  <c r="E17" i="34" s="1"/>
  <c r="J18" i="7"/>
  <c r="J16" i="7" s="1"/>
  <c r="G315" i="10"/>
  <c r="BR3" i="49" a="1"/>
  <c r="BR3" i="49" s="1"/>
  <c r="C18" i="7"/>
  <c r="Y30" i="7"/>
  <c r="Y35" i="7" s="1"/>
  <c r="Y37" i="7" s="1"/>
  <c r="G168" i="10"/>
  <c r="E19" i="32" a="1"/>
  <c r="E19" i="32" s="1"/>
  <c r="C17" i="32"/>
  <c r="E17" i="32" s="1"/>
  <c r="H4" i="32"/>
  <c r="C7" i="33"/>
  <c r="B4" i="33" s="1"/>
  <c r="G131" i="34"/>
  <c r="F131" i="34"/>
  <c r="C36" i="27"/>
  <c r="G244" i="10"/>
  <c r="E20" i="32" a="1"/>
  <c r="E20" i="32" s="1"/>
  <c r="B99" i="34" s="1"/>
  <c r="H54" i="1"/>
  <c r="H48" i="1" s="1"/>
  <c r="G54" i="1"/>
  <c r="G48" i="1" s="1"/>
  <c r="D54" i="1"/>
  <c r="D48" i="1" s="1"/>
  <c r="BG28" i="2" s="1"/>
  <c r="BG32" i="2" s="1"/>
  <c r="C54" i="1"/>
  <c r="C48" i="1" s="1"/>
  <c r="BG27" i="2" s="1"/>
  <c r="BG31" i="2" s="1"/>
  <c r="K54" i="1"/>
  <c r="K48" i="1" s="1"/>
  <c r="E54" i="1"/>
  <c r="E48" i="1" s="1"/>
  <c r="BG29" i="2" s="1"/>
  <c r="BG33" i="2" s="1"/>
  <c r="F54" i="1"/>
  <c r="F48" i="1" s="1"/>
  <c r="J11" i="13"/>
  <c r="C26" i="21"/>
  <c r="C6" i="21"/>
  <c r="C16" i="21"/>
  <c r="C20" i="21"/>
  <c r="C4" i="24"/>
  <c r="C11" i="24"/>
  <c r="C10" i="24"/>
  <c r="C7" i="24"/>
  <c r="C5" i="24"/>
  <c r="B12" i="24"/>
  <c r="C6" i="24"/>
  <c r="C8" i="24"/>
  <c r="AX8" i="43"/>
  <c r="E2" i="43" s="1"/>
  <c r="E6" i="43" s="1"/>
  <c r="B116" i="28"/>
  <c r="B130" i="38"/>
  <c r="G130" i="38" s="1" a="1"/>
  <c r="G130" i="38" s="1"/>
  <c r="B127" i="36"/>
  <c r="G127" i="36" s="1" a="1"/>
  <c r="G127" i="36" s="1"/>
  <c r="AX9" i="43"/>
  <c r="V2" i="43" s="1"/>
  <c r="V3" i="43" s="1"/>
  <c r="B6" i="9"/>
  <c r="E65" i="8" s="1"/>
  <c r="E91" i="8"/>
  <c r="B132" i="38"/>
  <c r="E132" i="38" s="1" a="1"/>
  <c r="E132" i="38" s="1"/>
  <c r="B115" i="28"/>
  <c r="G115" i="28" s="1" a="1"/>
  <c r="G115" i="28" s="1"/>
  <c r="C36" i="25"/>
  <c r="G17" i="51" s="1"/>
  <c r="G19" i="51" s="1"/>
  <c r="G21" i="51" s="1"/>
  <c r="G23" i="51" s="1"/>
  <c r="G25" i="51" s="1"/>
  <c r="G27" i="51" s="1"/>
  <c r="B135" i="32"/>
  <c r="AX7" i="43"/>
  <c r="D2" i="43" s="1"/>
  <c r="H31" i="25"/>
  <c r="BO7" i="47"/>
  <c r="B131" i="34"/>
  <c r="AI6" i="42"/>
  <c r="C2" i="42" s="1"/>
  <c r="C223" i="42" s="1"/>
  <c r="B12" i="45"/>
  <c r="B130" i="32"/>
  <c r="G130" i="32" s="1" a="1"/>
  <c r="G130" i="32" s="1"/>
  <c r="B7" i="48"/>
  <c r="E7" i="48" s="1" a="1"/>
  <c r="E7" i="48" s="1"/>
  <c r="B11" i="46"/>
  <c r="CE5" i="49"/>
  <c r="R2" i="49" s="1"/>
  <c r="R95" i="49" s="1"/>
  <c r="B134" i="32"/>
  <c r="F134" i="32" s="1" a="1"/>
  <c r="F134" i="32" s="1"/>
  <c r="H36" i="25"/>
  <c r="H32" i="25"/>
  <c r="CE10" i="49"/>
  <c r="CF10" i="49" s="1"/>
  <c r="CE7" i="49"/>
  <c r="D2" i="49" s="1"/>
  <c r="D6" i="49" s="1"/>
  <c r="AI10" i="42"/>
  <c r="AJ10" i="42" s="1"/>
  <c r="B137" i="32"/>
  <c r="AX4" i="43"/>
  <c r="H30" i="25"/>
  <c r="H35" i="25"/>
  <c r="B9" i="45"/>
  <c r="B5" i="41"/>
  <c r="G5" i="41" s="1" a="1"/>
  <c r="G5" i="41" s="1"/>
  <c r="G11" i="41" s="1"/>
  <c r="B7" i="46"/>
  <c r="F7" i="46" s="1" a="1"/>
  <c r="F7" i="46" s="1"/>
  <c r="K4" i="28"/>
  <c r="B127" i="34"/>
  <c r="E127" i="34" s="1" a="1"/>
  <c r="E127" i="34" s="1"/>
  <c r="B10" i="45"/>
  <c r="E10" i="45" s="1" a="1"/>
  <c r="E10" i="45" s="1"/>
  <c r="H38" i="25"/>
  <c r="CE9" i="49"/>
  <c r="F2" i="49" s="1"/>
  <c r="F33" i="49" s="1"/>
  <c r="AI4" i="42"/>
  <c r="A2" i="42" s="1"/>
  <c r="A88" i="42" s="1"/>
  <c r="B132" i="34"/>
  <c r="K4" i="34"/>
  <c r="K4" i="32"/>
  <c r="B11" i="41"/>
  <c r="B136" i="32"/>
  <c r="B129" i="38"/>
  <c r="F129" i="38" s="1" a="1"/>
  <c r="F129" i="38" s="1"/>
  <c r="B133" i="36"/>
  <c r="AI8" i="42"/>
  <c r="E2" i="42" s="1"/>
  <c r="E18" i="42" s="1"/>
  <c r="B6" i="41"/>
  <c r="E6" i="41" s="1" a="1"/>
  <c r="E6" i="41" s="1"/>
  <c r="B10" i="41"/>
  <c r="K10" i="41" s="1"/>
  <c r="B134" i="36"/>
  <c r="AI11" i="42"/>
  <c r="AJ11" i="42" s="1"/>
  <c r="B12" i="50"/>
  <c r="S12" i="50" s="1" a="1"/>
  <c r="S12" i="50" s="1"/>
  <c r="BO9" i="47"/>
  <c r="AL2" i="47" s="1"/>
  <c r="AL3" i="47" s="1"/>
  <c r="B131" i="38"/>
  <c r="B132" i="36"/>
  <c r="B13" i="50"/>
  <c r="H37" i="25"/>
  <c r="B13" i="46"/>
  <c r="K4" i="36"/>
  <c r="AX5" i="43"/>
  <c r="B2" i="43" s="1"/>
  <c r="B5" i="43" s="1"/>
  <c r="B132" i="32"/>
  <c r="F132" i="32" s="1" a="1"/>
  <c r="F132" i="32" s="1"/>
  <c r="B8" i="41"/>
  <c r="K8" i="41" s="1"/>
  <c r="CE8" i="49"/>
  <c r="U2" i="49" s="1"/>
  <c r="U76" i="49" s="1"/>
  <c r="CE11" i="49"/>
  <c r="CF11" i="49" s="1"/>
  <c r="B126" i="30"/>
  <c r="E126" i="30" s="1" a="1"/>
  <c r="E126" i="30" s="1"/>
  <c r="E132" i="30" s="1"/>
  <c r="E134" i="30" s="1"/>
  <c r="B9" i="41"/>
  <c r="B12" i="48"/>
  <c r="B12" i="41"/>
  <c r="B124" i="34"/>
  <c r="G124" i="34" s="1" a="1"/>
  <c r="G124" i="34" s="1"/>
  <c r="B8" i="50"/>
  <c r="S8" i="50" s="1" a="1"/>
  <c r="S8" i="50" s="1"/>
  <c r="B111" i="28"/>
  <c r="F111" i="28" s="1" a="1"/>
  <c r="F111" i="28" s="1"/>
  <c r="H34" i="25"/>
  <c r="B130" i="34"/>
  <c r="B118" i="28"/>
  <c r="B14" i="50"/>
  <c r="B7" i="50"/>
  <c r="S7" i="50" s="1" a="1"/>
  <c r="S7" i="50" s="1"/>
  <c r="B133" i="30"/>
  <c r="B117" i="28"/>
  <c r="B128" i="38"/>
  <c r="G128" i="38" s="1" a="1"/>
  <c r="G128" i="38" s="1"/>
  <c r="BO4" i="47"/>
  <c r="Q2" i="47" s="1"/>
  <c r="Q3" i="47" s="1"/>
  <c r="B131" i="32"/>
  <c r="F131" i="32" s="1" a="1"/>
  <c r="F131" i="32" s="1"/>
  <c r="B134" i="38"/>
  <c r="K4" i="30"/>
  <c r="B5" i="48"/>
  <c r="K5" i="48" s="1"/>
  <c r="B10" i="50"/>
  <c r="S10" i="50" s="1" a="1"/>
  <c r="S10" i="50" s="1"/>
  <c r="B11" i="48"/>
  <c r="B11" i="45"/>
  <c r="B128" i="30"/>
  <c r="G128" i="30" s="1" a="1"/>
  <c r="G128" i="30" s="1"/>
  <c r="B129" i="30"/>
  <c r="F129" i="30" s="1" a="1"/>
  <c r="F129" i="30" s="1"/>
  <c r="J4" i="26"/>
  <c r="B10" i="48"/>
  <c r="G10" i="48" s="1" a="1"/>
  <c r="G10" i="48" s="1"/>
  <c r="B15" i="50"/>
  <c r="B112" i="28"/>
  <c r="F112" i="28" s="1" a="1"/>
  <c r="F112" i="28" s="1"/>
  <c r="B110" i="28"/>
  <c r="E110" i="28" s="1" a="1"/>
  <c r="E110" i="28" s="1"/>
  <c r="E116" i="28" s="1"/>
  <c r="E118" i="28" s="1"/>
  <c r="B131" i="30"/>
  <c r="F131" i="30" s="1" a="1"/>
  <c r="F131" i="30" s="1"/>
  <c r="B126" i="34"/>
  <c r="E126" i="34" s="1" a="1"/>
  <c r="E126" i="34" s="1"/>
  <c r="BO5" i="47"/>
  <c r="R2" i="47" s="1"/>
  <c r="R3" i="47" s="1"/>
  <c r="B13" i="41"/>
  <c r="B6" i="46"/>
  <c r="E6" i="46" s="1" a="1"/>
  <c r="E6" i="46" s="1"/>
  <c r="B5" i="45"/>
  <c r="E5" i="45" s="1" a="1"/>
  <c r="E5" i="45" s="1"/>
  <c r="E11" i="45" s="1"/>
  <c r="E13" i="45" s="1"/>
  <c r="BO8" i="47"/>
  <c r="BK2" i="47" s="1"/>
  <c r="B133" i="32"/>
  <c r="K4" i="38"/>
  <c r="B132" i="30"/>
  <c r="CE4" i="49"/>
  <c r="AG2" i="49" s="1"/>
  <c r="AG3" i="49" s="1"/>
  <c r="B7" i="45"/>
  <c r="E7" i="45" s="1" a="1"/>
  <c r="E7" i="45" s="1"/>
  <c r="B127" i="38"/>
  <c r="F127" i="38" s="1" a="1"/>
  <c r="F127" i="38" s="1"/>
  <c r="F133" i="38" s="1"/>
  <c r="B114" i="28"/>
  <c r="B129" i="36"/>
  <c r="G129" i="36" s="1" a="1"/>
  <c r="G129" i="36" s="1"/>
  <c r="G10" i="46" a="1"/>
  <c r="G10" i="46" s="1"/>
  <c r="E10" i="46" a="1"/>
  <c r="E10" i="46" s="1"/>
  <c r="F10" i="46" a="1"/>
  <c r="F10" i="46" s="1"/>
  <c r="Q15" i="7"/>
  <c r="B13" i="45"/>
  <c r="B129" i="34"/>
  <c r="F129" i="34" s="1" a="1"/>
  <c r="F129" i="34" s="1"/>
  <c r="B125" i="34"/>
  <c r="E125" i="34" s="1" a="1"/>
  <c r="E125" i="34" s="1"/>
  <c r="B134" i="30"/>
  <c r="B128" i="36"/>
  <c r="AI9" i="42"/>
  <c r="F2" i="42" s="1"/>
  <c r="F52" i="42" s="1"/>
  <c r="B9" i="48"/>
  <c r="F9" i="48" s="1" a="1"/>
  <c r="F9" i="48" s="1"/>
  <c r="B130" i="30"/>
  <c r="B8" i="45"/>
  <c r="K8" i="45" s="1"/>
  <c r="BO10" i="47"/>
  <c r="BP10" i="47" s="1"/>
  <c r="BO6" i="47"/>
  <c r="B128" i="34"/>
  <c r="B6" i="48"/>
  <c r="B126" i="36"/>
  <c r="G126" i="36" s="1" a="1"/>
  <c r="G126" i="36" s="1"/>
  <c r="B5" i="46"/>
  <c r="K5" i="46" s="1"/>
  <c r="AX10" i="43"/>
  <c r="AY10" i="43" s="1"/>
  <c r="C37" i="25"/>
  <c r="G18" i="51" s="1"/>
  <c r="G20" i="51" s="1"/>
  <c r="G22" i="51" s="1"/>
  <c r="G24" i="51" s="1"/>
  <c r="G26" i="51" s="1"/>
  <c r="G28" i="51" s="1"/>
  <c r="B9" i="46"/>
  <c r="B6" i="45"/>
  <c r="F6" i="45" s="1" a="1"/>
  <c r="F6" i="45" s="1"/>
  <c r="AX6" i="43"/>
  <c r="B130" i="36"/>
  <c r="CE6" i="49"/>
  <c r="BY2" i="49" s="1"/>
  <c r="B131" i="36"/>
  <c r="F131" i="36" s="1" a="1"/>
  <c r="F131" i="36" s="1"/>
  <c r="B8" i="48"/>
  <c r="E8" i="48" s="1" a="1"/>
  <c r="E8" i="48" s="1"/>
  <c r="B11" i="50"/>
  <c r="S11" i="50" s="1" a="1"/>
  <c r="S11" i="50" s="1"/>
  <c r="B9" i="50"/>
  <c r="S9" i="50" s="1" a="1"/>
  <c r="S9" i="50" s="1"/>
  <c r="BO11" i="47"/>
  <c r="BP11" i="47" s="1"/>
  <c r="B12" i="46"/>
  <c r="AX11" i="43"/>
  <c r="AY11" i="43" s="1"/>
  <c r="B129" i="32"/>
  <c r="F129" i="32" s="1" a="1"/>
  <c r="F129" i="32" s="1"/>
  <c r="F133" i="32" s="1" a="1"/>
  <c r="F133" i="32" s="1"/>
  <c r="B8" i="46"/>
  <c r="F8" i="46" s="1" a="1"/>
  <c r="F8" i="46" s="1"/>
  <c r="B127" i="30"/>
  <c r="B7" i="41"/>
  <c r="F7" i="41" s="1" a="1"/>
  <c r="F7" i="41" s="1"/>
  <c r="AI5" i="42"/>
  <c r="B2" i="42" s="1"/>
  <c r="B236" i="42" s="1"/>
  <c r="B135" i="38"/>
  <c r="H33" i="25"/>
  <c r="B133" i="38"/>
  <c r="AI7" i="42"/>
  <c r="D2" i="42" s="1"/>
  <c r="D9" i="42" s="1"/>
  <c r="S15" i="7"/>
  <c r="O15" i="7"/>
  <c r="W15" i="7"/>
  <c r="I35" i="25"/>
  <c r="C131" i="36" s="1"/>
  <c r="O15" i="1"/>
  <c r="W15" i="1"/>
  <c r="S15" i="1"/>
  <c r="Q15" i="1"/>
  <c r="D7" i="9"/>
  <c r="E37" i="10" s="1"/>
  <c r="D8" i="9"/>
  <c r="C8" i="9"/>
  <c r="C7" i="9"/>
  <c r="D37" i="10" s="1"/>
  <c r="F19" i="24"/>
  <c r="E61" i="8"/>
  <c r="C23" i="21"/>
  <c r="F7" i="24"/>
  <c r="D20" i="21" s="1"/>
  <c r="BG3" i="49"/>
  <c r="K3" i="43"/>
  <c r="B16" i="27"/>
  <c r="K3" i="49"/>
  <c r="BD3" i="49"/>
  <c r="K3" i="42"/>
  <c r="K3" i="47"/>
  <c r="B102" i="38"/>
  <c r="K10" i="46"/>
  <c r="U3" i="42"/>
  <c r="V3" i="42" s="1" a="1"/>
  <c r="AY12" i="43"/>
  <c r="H3" i="43"/>
  <c r="AJ12" i="42"/>
  <c r="B101" i="36" a="1"/>
  <c r="I33" i="25" l="1"/>
  <c r="C8" i="48" s="1"/>
  <c r="B101" i="36"/>
  <c r="D36" i="56"/>
  <c r="E36" i="56" s="1"/>
  <c r="D37" i="56"/>
  <c r="Q54" i="57" s="1"/>
  <c r="D19" i="56"/>
  <c r="P53" i="57"/>
  <c r="C35" i="56"/>
  <c r="C38" i="56" s="1"/>
  <c r="P54" i="57"/>
  <c r="U25" i="20"/>
  <c r="W25" i="20" s="1"/>
  <c r="Q11" i="20" s="1"/>
  <c r="V25" i="20"/>
  <c r="B7" i="18"/>
  <c r="AW7" i="18" s="1"/>
  <c r="I30" i="25"/>
  <c r="C110" i="28" s="1"/>
  <c r="C5" i="41" s="1"/>
  <c r="I31" i="25"/>
  <c r="C111" i="28" s="1"/>
  <c r="J111" i="28" s="1"/>
  <c r="I32" i="25"/>
  <c r="C7" i="48" s="1"/>
  <c r="D21" i="24"/>
  <c r="AC45" i="7" s="1" a="1"/>
  <c r="AC45" i="7" s="1"/>
  <c r="I24" i="21"/>
  <c r="BI34" i="2"/>
  <c r="BK34" i="2"/>
  <c r="N14" i="1"/>
  <c r="O43" i="1" s="1"/>
  <c r="D15" i="1"/>
  <c r="P14" i="1" s="1"/>
  <c r="E26" i="42"/>
  <c r="E148" i="42"/>
  <c r="E78" i="42"/>
  <c r="B341" i="10"/>
  <c r="C341" i="10" s="1"/>
  <c r="B340" i="10"/>
  <c r="C340" i="10" s="1"/>
  <c r="E72" i="42"/>
  <c r="E220" i="42"/>
  <c r="E83" i="42"/>
  <c r="E180" i="42"/>
  <c r="E5" i="41" a="1"/>
  <c r="E5" i="41" s="1"/>
  <c r="E9" i="41" s="1" a="1"/>
  <c r="E9" i="41" s="1"/>
  <c r="G111" i="28" a="1"/>
  <c r="G111" i="28" s="1"/>
  <c r="E239" i="42"/>
  <c r="AE8" i="2"/>
  <c r="B20" i="11"/>
  <c r="AE10" i="2"/>
  <c r="B16" i="11"/>
  <c r="B7" i="11"/>
  <c r="AE12" i="2"/>
  <c r="AE5" i="2"/>
  <c r="B8" i="11"/>
  <c r="B6" i="11"/>
  <c r="AE11" i="2"/>
  <c r="AE6" i="2"/>
  <c r="AE7" i="2"/>
  <c r="E230" i="42"/>
  <c r="N14" i="7"/>
  <c r="N16" i="7" s="1"/>
  <c r="AW16" i="7" s="1"/>
  <c r="DF25" i="7"/>
  <c r="AC12" i="2"/>
  <c r="AC7" i="2"/>
  <c r="DF26" i="7"/>
  <c r="DF29" i="7"/>
  <c r="DH29" i="7" s="1"/>
  <c r="DQ19" i="7"/>
  <c r="DQ25" i="7" s="1"/>
  <c r="D15" i="7"/>
  <c r="P14" i="7" s="1"/>
  <c r="Q13" i="7" s="1"/>
  <c r="E145" i="42"/>
  <c r="R44" i="49"/>
  <c r="E64" i="42"/>
  <c r="E156" i="42"/>
  <c r="E50" i="42"/>
  <c r="E217" i="42"/>
  <c r="E77" i="42"/>
  <c r="E200" i="42"/>
  <c r="B323" i="10"/>
  <c r="AC9" i="2"/>
  <c r="AC6" i="2"/>
  <c r="E172" i="42"/>
  <c r="E222" i="42"/>
  <c r="E128" i="42"/>
  <c r="E162" i="42"/>
  <c r="AC11" i="2"/>
  <c r="E116" i="42"/>
  <c r="E166" i="42"/>
  <c r="E139" i="42"/>
  <c r="E120" i="42"/>
  <c r="AC5" i="2"/>
  <c r="Y9" i="2" s="1"/>
  <c r="E11" i="42"/>
  <c r="E216" i="42"/>
  <c r="E171" i="42"/>
  <c r="E17" i="42"/>
  <c r="CA2" i="49"/>
  <c r="AC8" i="2"/>
  <c r="E112" i="42"/>
  <c r="E13" i="42"/>
  <c r="E193" i="42"/>
  <c r="E176" i="42"/>
  <c r="D16" i="7"/>
  <c r="DG34" i="7"/>
  <c r="U62" i="49"/>
  <c r="B17" i="19"/>
  <c r="B34" i="19" s="1"/>
  <c r="E128" i="38" a="1"/>
  <c r="E128" i="38" s="1"/>
  <c r="R32" i="49"/>
  <c r="E89" i="42"/>
  <c r="E95" i="42"/>
  <c r="E114" i="42"/>
  <c r="E36" i="42"/>
  <c r="E236" i="42"/>
  <c r="E101" i="42"/>
  <c r="E98" i="42"/>
  <c r="E150" i="42"/>
  <c r="E202" i="42"/>
  <c r="E47" i="42"/>
  <c r="E84" i="42"/>
  <c r="E14" i="42"/>
  <c r="E214" i="42"/>
  <c r="E167" i="42"/>
  <c r="E68" i="42"/>
  <c r="E105" i="42"/>
  <c r="E209" i="42"/>
  <c r="E129" i="42"/>
  <c r="E54" i="42"/>
  <c r="E122" i="42"/>
  <c r="E178" i="42"/>
  <c r="E40" i="42"/>
  <c r="F115" i="28" a="1"/>
  <c r="F115" i="28" s="1"/>
  <c r="J131" i="36" s="1"/>
  <c r="R8" i="49"/>
  <c r="E97" i="42"/>
  <c r="E103" i="42"/>
  <c r="E86" i="42"/>
  <c r="AK2" i="49"/>
  <c r="AK3" i="49" s="1"/>
  <c r="E157" i="42"/>
  <c r="K10" i="45"/>
  <c r="E4" i="42"/>
  <c r="E183" i="42"/>
  <c r="E80" i="42"/>
  <c r="E110" i="42"/>
  <c r="E174" i="42"/>
  <c r="E238" i="42"/>
  <c r="E161" i="42"/>
  <c r="E81" i="42"/>
  <c r="E125" i="42"/>
  <c r="E141" i="42"/>
  <c r="G131" i="30" a="1"/>
  <c r="G131" i="30" s="1"/>
  <c r="H131" i="30" s="1"/>
  <c r="E60" i="42"/>
  <c r="E188" i="42"/>
  <c r="E194" i="42"/>
  <c r="E35" i="42"/>
  <c r="E99" i="42"/>
  <c r="E197" i="42"/>
  <c r="E138" i="42"/>
  <c r="E24" i="42"/>
  <c r="E58" i="42"/>
  <c r="E223" i="42"/>
  <c r="E38" i="42"/>
  <c r="U109" i="49"/>
  <c r="E115" i="28" a="1"/>
  <c r="E115" i="28" s="1"/>
  <c r="E3" i="42"/>
  <c r="E158" i="42"/>
  <c r="E111" i="42"/>
  <c r="E7" i="42"/>
  <c r="E69" i="42"/>
  <c r="E133" i="42"/>
  <c r="E42" i="42"/>
  <c r="E203" i="42"/>
  <c r="E155" i="42"/>
  <c r="E181" i="42"/>
  <c r="E131" i="42"/>
  <c r="E102" i="42"/>
  <c r="U73" i="49"/>
  <c r="E160" i="42"/>
  <c r="R102" i="49"/>
  <c r="R30" i="49"/>
  <c r="R49" i="49"/>
  <c r="R50" i="49"/>
  <c r="R41" i="49"/>
  <c r="R45" i="49"/>
  <c r="BX2" i="49"/>
  <c r="R59" i="49"/>
  <c r="R99" i="49"/>
  <c r="R42" i="49"/>
  <c r="R18" i="49"/>
  <c r="G117" i="28"/>
  <c r="G14" i="50" s="1"/>
  <c r="G15" i="50" s="1"/>
  <c r="E113" i="28" a="1"/>
  <c r="E113" i="28" s="1"/>
  <c r="R72" i="49"/>
  <c r="U51" i="49"/>
  <c r="BA2" i="49"/>
  <c r="BA4" i="49" s="1"/>
  <c r="E179" i="42"/>
  <c r="U67" i="49"/>
  <c r="R98" i="49"/>
  <c r="R92" i="49"/>
  <c r="R103" i="49"/>
  <c r="R108" i="49"/>
  <c r="K6" i="48"/>
  <c r="K11" i="48" s="1"/>
  <c r="DF33" i="7"/>
  <c r="DH33" i="7" s="1"/>
  <c r="AG10" i="2"/>
  <c r="AG8" i="2"/>
  <c r="DF28" i="7"/>
  <c r="AG12" i="2"/>
  <c r="I28" i="20"/>
  <c r="C201" i="42"/>
  <c r="A180" i="42"/>
  <c r="DG28" i="7"/>
  <c r="B19" i="11"/>
  <c r="B12" i="11"/>
  <c r="C33" i="25" s="1"/>
  <c r="DF27" i="7"/>
  <c r="B15" i="11"/>
  <c r="DF24" i="7"/>
  <c r="DH24" i="7" s="1"/>
  <c r="A215" i="42"/>
  <c r="DG30" i="7"/>
  <c r="B9" i="11"/>
  <c r="C148" i="42"/>
  <c r="C226" i="42"/>
  <c r="A227" i="42"/>
  <c r="A4" i="42"/>
  <c r="C101" i="42"/>
  <c r="C5" i="42"/>
  <c r="C118" i="42"/>
  <c r="C91" i="42"/>
  <c r="C149" i="42"/>
  <c r="U2" i="43"/>
  <c r="U3" i="43" s="1"/>
  <c r="L8" i="50"/>
  <c r="C30" i="42"/>
  <c r="R66" i="49"/>
  <c r="R21" i="49"/>
  <c r="R94" i="49"/>
  <c r="N45" i="19"/>
  <c r="R84" i="49"/>
  <c r="R27" i="49"/>
  <c r="R55" i="49"/>
  <c r="F135" i="38"/>
  <c r="C138" i="42"/>
  <c r="E112" i="28" a="1"/>
  <c r="E112" i="28" s="1"/>
  <c r="C84" i="42"/>
  <c r="A66" i="42"/>
  <c r="C88" i="42"/>
  <c r="C14" i="42"/>
  <c r="C147" i="42"/>
  <c r="G323" i="10"/>
  <c r="G107" i="10"/>
  <c r="B299" i="10"/>
  <c r="B311" i="10"/>
  <c r="B288" i="10"/>
  <c r="R3" i="49"/>
  <c r="AX2" i="49"/>
  <c r="AX109" i="49" s="1"/>
  <c r="R37" i="49"/>
  <c r="R113" i="49"/>
  <c r="R46" i="49"/>
  <c r="R63" i="49"/>
  <c r="R16" i="49"/>
  <c r="R91" i="49"/>
  <c r="R106" i="49"/>
  <c r="R77" i="49"/>
  <c r="R73" i="49"/>
  <c r="R60" i="49"/>
  <c r="R17" i="49"/>
  <c r="R65" i="49"/>
  <c r="R125" i="49"/>
  <c r="R122" i="49"/>
  <c r="R9" i="49"/>
  <c r="R75" i="49"/>
  <c r="R89" i="49"/>
  <c r="R118" i="49"/>
  <c r="G147" i="10"/>
  <c r="F10" i="45" a="1"/>
  <c r="F10" i="45" s="1"/>
  <c r="R69" i="49"/>
  <c r="R58" i="49"/>
  <c r="R31" i="49"/>
  <c r="R104" i="49"/>
  <c r="R25" i="49"/>
  <c r="R22" i="49"/>
  <c r="G88" i="10"/>
  <c r="E24" i="4"/>
  <c r="BU29" i="2" s="1"/>
  <c r="BW29" i="2" s="1"/>
  <c r="BU22" i="2"/>
  <c r="BW22" i="2" s="1"/>
  <c r="CV42" i="7"/>
  <c r="F200" i="42"/>
  <c r="F108" i="42"/>
  <c r="B87" i="10"/>
  <c r="G311" i="10"/>
  <c r="B307" i="10"/>
  <c r="B320" i="10"/>
  <c r="CR42" i="7"/>
  <c r="C71" i="42"/>
  <c r="C53" i="42"/>
  <c r="C197" i="42"/>
  <c r="A72" i="42"/>
  <c r="C6" i="42"/>
  <c r="C47" i="42"/>
  <c r="C106" i="42"/>
  <c r="C211" i="42"/>
  <c r="F8" i="48" a="1"/>
  <c r="F8" i="48" s="1"/>
  <c r="C134" i="42"/>
  <c r="A195" i="42"/>
  <c r="A10" i="42"/>
  <c r="B245" i="10"/>
  <c r="C38" i="42"/>
  <c r="A39" i="42"/>
  <c r="BV27" i="2"/>
  <c r="C143" i="42"/>
  <c r="A208" i="42"/>
  <c r="E4" i="43"/>
  <c r="C193" i="42"/>
  <c r="C103" i="42"/>
  <c r="C75" i="42"/>
  <c r="A128" i="42"/>
  <c r="A93" i="42"/>
  <c r="CP37" i="7"/>
  <c r="CP41" i="7" s="1"/>
  <c r="A122" i="42"/>
  <c r="G89" i="10"/>
  <c r="B276" i="10"/>
  <c r="AB63" i="7"/>
  <c r="C158" i="42"/>
  <c r="C216" i="42"/>
  <c r="C87" i="42"/>
  <c r="C228" i="42"/>
  <c r="C40" i="42"/>
  <c r="C77" i="42"/>
  <c r="C199" i="42"/>
  <c r="A20" i="42"/>
  <c r="A56" i="42"/>
  <c r="A51" i="42"/>
  <c r="A191" i="42"/>
  <c r="C100" i="42"/>
  <c r="G87" i="10"/>
  <c r="B6" i="42"/>
  <c r="BH2" i="47"/>
  <c r="A59" i="42"/>
  <c r="A94" i="42"/>
  <c r="A193" i="42"/>
  <c r="A111" i="42"/>
  <c r="F7" i="48" a="1"/>
  <c r="F7" i="48" s="1"/>
  <c r="B217" i="42"/>
  <c r="C51" i="42"/>
  <c r="C240" i="42"/>
  <c r="C144" i="42"/>
  <c r="C222" i="42"/>
  <c r="C184" i="42"/>
  <c r="C41" i="42"/>
  <c r="C181" i="42"/>
  <c r="B233" i="42"/>
  <c r="C124" i="42"/>
  <c r="C190" i="42"/>
  <c r="C109" i="42"/>
  <c r="C81" i="42"/>
  <c r="C89" i="42"/>
  <c r="C213" i="42"/>
  <c r="A231" i="42"/>
  <c r="A213" i="42"/>
  <c r="A60" i="42"/>
  <c r="G70" i="10"/>
  <c r="B271" i="10"/>
  <c r="B275" i="10"/>
  <c r="K7" i="48"/>
  <c r="C28" i="42"/>
  <c r="C119" i="42"/>
  <c r="C161" i="42"/>
  <c r="C114" i="42"/>
  <c r="C37" i="42"/>
  <c r="C209" i="42"/>
  <c r="C107" i="42"/>
  <c r="A151" i="42"/>
  <c r="A126" i="42"/>
  <c r="A198" i="42"/>
  <c r="A99" i="42"/>
  <c r="C221" i="42"/>
  <c r="BV23" i="2"/>
  <c r="G7" i="48" a="1"/>
  <c r="G7" i="48" s="1"/>
  <c r="R8" i="50"/>
  <c r="C43" i="42"/>
  <c r="C145" i="42"/>
  <c r="C135" i="42"/>
  <c r="C185" i="42"/>
  <c r="C203" i="42"/>
  <c r="C129" i="42"/>
  <c r="C220" i="42"/>
  <c r="A45" i="42"/>
  <c r="E130" i="32" a="1"/>
  <c r="E130" i="32" s="1"/>
  <c r="A118" i="42"/>
  <c r="A96" i="42"/>
  <c r="A121" i="42"/>
  <c r="C233" i="42"/>
  <c r="G128" i="10"/>
  <c r="A6" i="42"/>
  <c r="K8" i="48"/>
  <c r="E5" i="43"/>
  <c r="B36" i="42"/>
  <c r="C20" i="42"/>
  <c r="C83" i="42"/>
  <c r="C55" i="42"/>
  <c r="C78" i="42"/>
  <c r="C45" i="42"/>
  <c r="C56" i="42"/>
  <c r="C42" i="42"/>
  <c r="C80" i="42"/>
  <c r="C46" i="42"/>
  <c r="C130" i="42"/>
  <c r="C94" i="42"/>
  <c r="C183" i="42"/>
  <c r="C212" i="42"/>
  <c r="C58" i="42"/>
  <c r="A78" i="42"/>
  <c r="C229" i="42"/>
  <c r="A107" i="42"/>
  <c r="A87" i="42"/>
  <c r="A75" i="42"/>
  <c r="A116" i="42"/>
  <c r="A178" i="42"/>
  <c r="A62" i="42"/>
  <c r="A103" i="42"/>
  <c r="A49" i="42"/>
  <c r="A176" i="42"/>
  <c r="E127" i="38" a="1"/>
  <c r="E127" i="38" s="1"/>
  <c r="E131" i="38" s="1" a="1"/>
  <c r="E131" i="38" s="1"/>
  <c r="C32" i="42"/>
  <c r="R117" i="49"/>
  <c r="R39" i="49"/>
  <c r="R48" i="49"/>
  <c r="R29" i="49"/>
  <c r="R11" i="49"/>
  <c r="R105" i="49"/>
  <c r="R80" i="49"/>
  <c r="R82" i="49"/>
  <c r="R114" i="49"/>
  <c r="R28" i="49"/>
  <c r="R43" i="49"/>
  <c r="R119" i="49"/>
  <c r="R57" i="49"/>
  <c r="G69" i="10"/>
  <c r="G90" i="10"/>
  <c r="G144" i="10"/>
  <c r="G86" i="10"/>
  <c r="G211" i="10"/>
  <c r="BU23" i="2"/>
  <c r="BU26" i="2"/>
  <c r="BW26" i="2" s="1"/>
  <c r="G143" i="10"/>
  <c r="G105" i="10"/>
  <c r="BU17" i="2"/>
  <c r="BW17" i="2" s="1"/>
  <c r="P8" i="50"/>
  <c r="B127" i="42"/>
  <c r="C10" i="42"/>
  <c r="C210" i="42"/>
  <c r="C79" i="42"/>
  <c r="C238" i="42"/>
  <c r="C127" i="42"/>
  <c r="C74" i="42"/>
  <c r="C177" i="42"/>
  <c r="C139" i="42"/>
  <c r="C65" i="42"/>
  <c r="C64" i="42"/>
  <c r="C21" i="42"/>
  <c r="C224" i="42"/>
  <c r="C218" i="42"/>
  <c r="A97" i="42"/>
  <c r="A149" i="42"/>
  <c r="A133" i="42"/>
  <c r="A13" i="42"/>
  <c r="A31" i="42"/>
  <c r="A123" i="42"/>
  <c r="A95" i="42"/>
  <c r="A218" i="42"/>
  <c r="A105" i="42"/>
  <c r="A26" i="42"/>
  <c r="B2" i="49"/>
  <c r="B43" i="49" s="1"/>
  <c r="C57" i="42"/>
  <c r="R64" i="49"/>
  <c r="R120" i="49"/>
  <c r="R52" i="49"/>
  <c r="R53" i="49"/>
  <c r="R70" i="49"/>
  <c r="R26" i="49"/>
  <c r="R87" i="49"/>
  <c r="R36" i="49"/>
  <c r="R96" i="49"/>
  <c r="R100" i="49"/>
  <c r="R67" i="49"/>
  <c r="R40" i="49"/>
  <c r="G288" i="10"/>
  <c r="C16" i="1"/>
  <c r="BU20" i="2"/>
  <c r="G283" i="10"/>
  <c r="G145" i="10"/>
  <c r="BU19" i="2"/>
  <c r="BV21" i="2"/>
  <c r="AG5" i="2"/>
  <c r="AG11" i="2"/>
  <c r="AG7" i="2"/>
  <c r="AG13" i="2"/>
  <c r="BU18" i="2"/>
  <c r="G307" i="10"/>
  <c r="K6" i="41"/>
  <c r="P9" i="50"/>
  <c r="F6" i="41" a="1"/>
  <c r="F6" i="41" s="1"/>
  <c r="A168" i="42"/>
  <c r="A164" i="42"/>
  <c r="B67" i="10"/>
  <c r="BW21" i="2"/>
  <c r="L9" i="50"/>
  <c r="A5" i="42"/>
  <c r="C236" i="42"/>
  <c r="C171" i="42"/>
  <c r="C99" i="42"/>
  <c r="C60" i="42"/>
  <c r="C22" i="42"/>
  <c r="C150" i="42"/>
  <c r="C169" i="42"/>
  <c r="C207" i="42"/>
  <c r="C52" i="42"/>
  <c r="C102" i="42"/>
  <c r="C232" i="42"/>
  <c r="C70" i="42"/>
  <c r="C225" i="42"/>
  <c r="AB2" i="42"/>
  <c r="A135" i="42"/>
  <c r="A140" i="42"/>
  <c r="A139" i="42"/>
  <c r="A104" i="42"/>
  <c r="A90" i="42"/>
  <c r="A41" i="42"/>
  <c r="A153" i="42"/>
  <c r="A130" i="42"/>
  <c r="A32" i="42"/>
  <c r="A65" i="42"/>
  <c r="A64" i="42"/>
  <c r="AH2" i="49"/>
  <c r="AH3" i="49" s="1"/>
  <c r="E21" i="42"/>
  <c r="U21" i="49"/>
  <c r="U110" i="49"/>
  <c r="R56" i="49"/>
  <c r="R85" i="49"/>
  <c r="R78" i="49"/>
  <c r="R34" i="49"/>
  <c r="R76" i="49"/>
  <c r="R7" i="49"/>
  <c r="R51" i="49"/>
  <c r="R5" i="49"/>
  <c r="R83" i="49"/>
  <c r="R71" i="49"/>
  <c r="R74" i="49"/>
  <c r="R62" i="49"/>
  <c r="D10" i="24"/>
  <c r="E6" i="24" s="1"/>
  <c r="G300" i="10"/>
  <c r="B143" i="10"/>
  <c r="B188" i="10"/>
  <c r="G108" i="10"/>
  <c r="BU21" i="2"/>
  <c r="G275" i="10"/>
  <c r="G170" i="10"/>
  <c r="E7" i="46" a="1"/>
  <c r="E7" i="46" s="1"/>
  <c r="B238" i="42"/>
  <c r="A42" i="42"/>
  <c r="C237" i="42"/>
  <c r="A100" i="42"/>
  <c r="A40" i="42"/>
  <c r="A162" i="42"/>
  <c r="A113" i="42"/>
  <c r="A179" i="42"/>
  <c r="A150" i="42"/>
  <c r="A98" i="42"/>
  <c r="A169" i="42"/>
  <c r="C49" i="42"/>
  <c r="C4" i="42"/>
  <c r="N8" i="50"/>
  <c r="C151" i="42"/>
  <c r="C195" i="42"/>
  <c r="C217" i="42"/>
  <c r="C48" i="42"/>
  <c r="C191" i="42"/>
  <c r="C180" i="42"/>
  <c r="C121" i="42"/>
  <c r="C227" i="42"/>
  <c r="C141" i="42"/>
  <c r="C62" i="42"/>
  <c r="C18" i="42"/>
  <c r="C142" i="42"/>
  <c r="C122" i="42"/>
  <c r="C95" i="42"/>
  <c r="A52" i="42"/>
  <c r="A200" i="42"/>
  <c r="C108" i="42"/>
  <c r="A196" i="42"/>
  <c r="A212" i="42"/>
  <c r="A202" i="42"/>
  <c r="A190" i="42"/>
  <c r="A171" i="42"/>
  <c r="A34" i="42"/>
  <c r="A129" i="42"/>
  <c r="A46" i="42"/>
  <c r="A30" i="42"/>
  <c r="A22" i="42"/>
  <c r="U86" i="49"/>
  <c r="E71" i="42"/>
  <c r="U85" i="49"/>
  <c r="R14" i="49"/>
  <c r="R121" i="49"/>
  <c r="R12" i="49"/>
  <c r="R116" i="49"/>
  <c r="R112" i="49"/>
  <c r="R93" i="49"/>
  <c r="R97" i="49"/>
  <c r="R35" i="49"/>
  <c r="R10" i="49"/>
  <c r="R101" i="49"/>
  <c r="R47" i="49"/>
  <c r="K7" i="45"/>
  <c r="K8" i="46"/>
  <c r="U3" i="49"/>
  <c r="B47" i="42"/>
  <c r="E19" i="42"/>
  <c r="E75" i="42"/>
  <c r="E100" i="42"/>
  <c r="AD2" i="42"/>
  <c r="E88" i="42"/>
  <c r="E109" i="42"/>
  <c r="E192" i="42"/>
  <c r="E136" i="42"/>
  <c r="E65" i="42"/>
  <c r="E56" i="42"/>
  <c r="E137" i="42"/>
  <c r="E152" i="42"/>
  <c r="E231" i="42"/>
  <c r="E211" i="42"/>
  <c r="E142" i="42"/>
  <c r="E153" i="42"/>
  <c r="E240" i="42"/>
  <c r="E184" i="42"/>
  <c r="E226" i="42"/>
  <c r="E63" i="42"/>
  <c r="F128" i="30" a="1"/>
  <c r="F128" i="30" s="1"/>
  <c r="G126" i="34" a="1"/>
  <c r="G126" i="34" s="1"/>
  <c r="G6" i="41" a="1"/>
  <c r="G6" i="41" s="1"/>
  <c r="E124" i="42"/>
  <c r="U104" i="49"/>
  <c r="F2" i="43"/>
  <c r="F92" i="43" s="1"/>
  <c r="E15" i="42"/>
  <c r="E213" i="42"/>
  <c r="U66" i="49"/>
  <c r="E143" i="42"/>
  <c r="F113" i="28" a="1"/>
  <c r="F113" i="28" s="1"/>
  <c r="U49" i="49"/>
  <c r="U61" i="49"/>
  <c r="F126" i="34" a="1"/>
  <c r="F126" i="34" s="1"/>
  <c r="F130" i="32" a="1"/>
  <c r="F130" i="32" s="1"/>
  <c r="K5" i="41"/>
  <c r="B4" i="42"/>
  <c r="N9" i="50"/>
  <c r="B185" i="42"/>
  <c r="E37" i="42"/>
  <c r="E106" i="42"/>
  <c r="E169" i="42"/>
  <c r="E52" i="42"/>
  <c r="E196" i="42"/>
  <c r="E22" i="42"/>
  <c r="E165" i="42"/>
  <c r="E205" i="42"/>
  <c r="E191" i="42"/>
  <c r="E234" i="42"/>
  <c r="E127" i="42"/>
  <c r="E45" i="42"/>
  <c r="E61" i="42"/>
  <c r="E92" i="42"/>
  <c r="E48" i="42"/>
  <c r="E53" i="42"/>
  <c r="E132" i="42"/>
  <c r="E175" i="42"/>
  <c r="E31" i="42"/>
  <c r="E186" i="42"/>
  <c r="E128" i="30" a="1"/>
  <c r="E128" i="30" s="1"/>
  <c r="E73" i="42"/>
  <c r="G16" i="51"/>
  <c r="U116" i="49"/>
  <c r="AJ2" i="49"/>
  <c r="AJ83" i="49" s="1"/>
  <c r="E185" i="42"/>
  <c r="E104" i="42"/>
  <c r="U42" i="49"/>
  <c r="U7" i="49"/>
  <c r="U72" i="49"/>
  <c r="G127" i="34" a="1"/>
  <c r="G127" i="34" s="1"/>
  <c r="N39" i="19"/>
  <c r="N44" i="19" s="1"/>
  <c r="G210" i="10"/>
  <c r="G228" i="10"/>
  <c r="E16" i="1"/>
  <c r="BE29" i="2"/>
  <c r="BE33" i="2" s="1"/>
  <c r="BE34" i="2" s="1"/>
  <c r="R233" i="47"/>
  <c r="U11" i="49"/>
  <c r="T2" i="49"/>
  <c r="T61" i="49" s="1"/>
  <c r="E224" i="42"/>
  <c r="E135" i="42"/>
  <c r="U81" i="49"/>
  <c r="U121" i="49"/>
  <c r="U32" i="49"/>
  <c r="K7" i="46"/>
  <c r="E5" i="42"/>
  <c r="E6" i="42"/>
  <c r="AG2" i="47"/>
  <c r="AG3" i="47" s="1"/>
  <c r="B151" i="42"/>
  <c r="B237" i="42"/>
  <c r="E173" i="42"/>
  <c r="E46" i="42"/>
  <c r="E39" i="42"/>
  <c r="E107" i="42"/>
  <c r="E151" i="42"/>
  <c r="E34" i="42"/>
  <c r="E27" i="42"/>
  <c r="E229" i="42"/>
  <c r="E235" i="42"/>
  <c r="E55" i="42"/>
  <c r="E30" i="42"/>
  <c r="E119" i="42"/>
  <c r="E170" i="42"/>
  <c r="E91" i="42"/>
  <c r="E118" i="42"/>
  <c r="E108" i="42"/>
  <c r="E8" i="42"/>
  <c r="E10" i="42"/>
  <c r="E25" i="42"/>
  <c r="E164" i="42"/>
  <c r="F130" i="38" a="1"/>
  <c r="F130" i="38" s="1"/>
  <c r="F128" i="38" a="1"/>
  <c r="F128" i="38" s="1"/>
  <c r="E111" i="28" a="1"/>
  <c r="E111" i="28" s="1"/>
  <c r="E2" i="49"/>
  <c r="E17" i="49" s="1"/>
  <c r="E90" i="42"/>
  <c r="U108" i="49"/>
  <c r="AZ2" i="49"/>
  <c r="AZ101" i="49" s="1"/>
  <c r="E85" i="42"/>
  <c r="E12" i="42"/>
  <c r="E96" i="42"/>
  <c r="U47" i="49"/>
  <c r="U84" i="49"/>
  <c r="U80" i="49"/>
  <c r="G190" i="10"/>
  <c r="G229" i="10"/>
  <c r="G192" i="10"/>
  <c r="G126" i="10"/>
  <c r="G127" i="10"/>
  <c r="G230" i="10"/>
  <c r="E130" i="38" a="1"/>
  <c r="E130" i="38" s="1"/>
  <c r="U13" i="49"/>
  <c r="BZ2" i="49"/>
  <c r="E79" i="42"/>
  <c r="E168" i="42"/>
  <c r="E201" i="42"/>
  <c r="U41" i="49"/>
  <c r="U40" i="49"/>
  <c r="B5" i="42"/>
  <c r="R9" i="50"/>
  <c r="E131" i="30" a="1"/>
  <c r="E131" i="30" s="1"/>
  <c r="G7" i="46" a="1"/>
  <c r="G7" i="46" s="1"/>
  <c r="B43" i="42"/>
  <c r="E225" i="42"/>
  <c r="E43" i="42"/>
  <c r="E130" i="42"/>
  <c r="E74" i="42"/>
  <c r="E144" i="42"/>
  <c r="E67" i="42"/>
  <c r="E208" i="42"/>
  <c r="E94" i="42"/>
  <c r="E33" i="42"/>
  <c r="E206" i="42"/>
  <c r="E163" i="42"/>
  <c r="E159" i="42"/>
  <c r="E227" i="42"/>
  <c r="E189" i="42"/>
  <c r="E228" i="42"/>
  <c r="E117" i="42"/>
  <c r="E182" i="42"/>
  <c r="E87" i="42"/>
  <c r="E62" i="42"/>
  <c r="E28" i="42"/>
  <c r="E215" i="42"/>
  <c r="F5" i="41" a="1"/>
  <c r="F5" i="41" s="1"/>
  <c r="E207" i="42"/>
  <c r="E233" i="42"/>
  <c r="U64" i="49"/>
  <c r="E154" i="42"/>
  <c r="E123" i="42"/>
  <c r="U56" i="49"/>
  <c r="U19" i="49"/>
  <c r="U8" i="49"/>
  <c r="U50" i="49"/>
  <c r="D16" i="1"/>
  <c r="G209" i="10"/>
  <c r="E124" i="34" a="1"/>
  <c r="E124" i="34" s="1"/>
  <c r="E128" i="34" s="1" a="1"/>
  <c r="E128" i="34" s="1"/>
  <c r="AK2" i="47"/>
  <c r="AK3" i="47" s="1"/>
  <c r="U2" i="47"/>
  <c r="U3" i="47" s="1"/>
  <c r="F2" i="47"/>
  <c r="F47" i="47" s="1"/>
  <c r="D5" i="49"/>
  <c r="C10" i="21"/>
  <c r="C30" i="21" s="1"/>
  <c r="G112" i="28" a="1"/>
  <c r="G112" i="28" s="1"/>
  <c r="B208" i="10"/>
  <c r="B207" i="10"/>
  <c r="B227" i="10"/>
  <c r="B246" i="10"/>
  <c r="B189" i="10"/>
  <c r="G106" i="10"/>
  <c r="G67" i="10"/>
  <c r="G109" i="10"/>
  <c r="G125" i="10"/>
  <c r="G68" i="10"/>
  <c r="G71" i="10"/>
  <c r="G124" i="10"/>
  <c r="G146" i="10"/>
  <c r="B169" i="10"/>
  <c r="B284" i="10"/>
  <c r="B287" i="10"/>
  <c r="B308" i="10"/>
  <c r="B312" i="10"/>
  <c r="B283" i="10"/>
  <c r="B295" i="10"/>
  <c r="B272" i="10"/>
  <c r="B300" i="10"/>
  <c r="B324" i="10"/>
  <c r="B319" i="10"/>
  <c r="N10" i="50"/>
  <c r="P10" i="50"/>
  <c r="G132" i="32" a="1"/>
  <c r="G132" i="32" s="1"/>
  <c r="D4" i="49"/>
  <c r="F125" i="34" a="1"/>
  <c r="F125" i="34" s="1"/>
  <c r="E129" i="38" a="1"/>
  <c r="E129" i="38" s="1"/>
  <c r="E132" i="32" a="1"/>
  <c r="E132" i="32" s="1"/>
  <c r="B226" i="10"/>
  <c r="B68" i="10"/>
  <c r="B144" i="10"/>
  <c r="B106" i="10"/>
  <c r="B125" i="10"/>
  <c r="B86" i="10"/>
  <c r="B124" i="10"/>
  <c r="CT42" i="7"/>
  <c r="G129" i="38" a="1"/>
  <c r="G129" i="38" s="1"/>
  <c r="E129" i="36" a="1"/>
  <c r="E129" i="36" s="1"/>
  <c r="E2" i="47"/>
  <c r="E251" i="47" s="1"/>
  <c r="F70" i="49"/>
  <c r="G227" i="10"/>
  <c r="G226" i="10"/>
  <c r="G188" i="10"/>
  <c r="G191" i="10"/>
  <c r="G246" i="10"/>
  <c r="G169" i="10"/>
  <c r="G245" i="10"/>
  <c r="G207" i="10"/>
  <c r="G208" i="10"/>
  <c r="R10" i="50"/>
  <c r="F129" i="36" a="1"/>
  <c r="F129" i="36" s="1"/>
  <c r="K5" i="45"/>
  <c r="L10" i="50"/>
  <c r="F124" i="34" a="1"/>
  <c r="F124" i="34" s="1"/>
  <c r="G319" i="10"/>
  <c r="G324" i="10"/>
  <c r="G287" i="10"/>
  <c r="G284" i="10"/>
  <c r="G296" i="10"/>
  <c r="G276" i="10"/>
  <c r="G320" i="10"/>
  <c r="G295" i="10"/>
  <c r="G312" i="10"/>
  <c r="G299" i="10"/>
  <c r="G271" i="10"/>
  <c r="G308" i="10"/>
  <c r="G272" i="10"/>
  <c r="R243" i="47"/>
  <c r="R50" i="47"/>
  <c r="Q2" i="49"/>
  <c r="Q3" i="49" s="1"/>
  <c r="A2" i="49"/>
  <c r="A64" i="49" s="1"/>
  <c r="BW2" i="49"/>
  <c r="AH2" i="47"/>
  <c r="AH46" i="47" s="1"/>
  <c r="B2" i="47"/>
  <c r="B170" i="47" s="1"/>
  <c r="G131" i="32" a="1"/>
  <c r="G131" i="32" s="1"/>
  <c r="E131" i="32" a="1"/>
  <c r="E131" i="32" s="1"/>
  <c r="G126" i="30" a="1"/>
  <c r="G126" i="30" s="1"/>
  <c r="G132" i="30" s="1"/>
  <c r="G134" i="30" s="1"/>
  <c r="F126" i="30" a="1"/>
  <c r="F126" i="30" s="1"/>
  <c r="F132" i="30" s="1"/>
  <c r="F134" i="30" s="1"/>
  <c r="F127" i="36" a="1"/>
  <c r="F127" i="36" s="1"/>
  <c r="E127" i="36" a="1"/>
  <c r="E127" i="36" s="1"/>
  <c r="N32" i="19"/>
  <c r="C34" i="42"/>
  <c r="A61" i="42"/>
  <c r="A9" i="42"/>
  <c r="A74" i="42"/>
  <c r="F110" i="28" a="1"/>
  <c r="F110" i="28" s="1"/>
  <c r="G110" i="28" a="1"/>
  <c r="G110" i="28" s="1"/>
  <c r="G114" i="28" s="1" a="1"/>
  <c r="G114" i="28" s="1"/>
  <c r="F124" i="28" s="1"/>
  <c r="E8" i="41" a="1"/>
  <c r="E8" i="41" s="1"/>
  <c r="F8" i="41" a="1"/>
  <c r="F8" i="41" s="1"/>
  <c r="G8" i="41" a="1"/>
  <c r="G8" i="41" s="1"/>
  <c r="A209" i="42"/>
  <c r="A25" i="42"/>
  <c r="A159" i="42"/>
  <c r="A192" i="42"/>
  <c r="A12" i="42"/>
  <c r="A136" i="42"/>
  <c r="A182" i="42"/>
  <c r="A119" i="42"/>
  <c r="A27" i="42"/>
  <c r="A54" i="42"/>
  <c r="A131" i="42"/>
  <c r="A138" i="42"/>
  <c r="A145" i="42"/>
  <c r="A81" i="42"/>
  <c r="A86" i="42"/>
  <c r="A173" i="42"/>
  <c r="A124" i="42"/>
  <c r="A210" i="42"/>
  <c r="A141" i="42"/>
  <c r="A142" i="42"/>
  <c r="A67" i="42"/>
  <c r="A115" i="42"/>
  <c r="A163" i="42"/>
  <c r="A132" i="42"/>
  <c r="A29" i="42"/>
  <c r="A108" i="42"/>
  <c r="A137" i="42"/>
  <c r="A109" i="42"/>
  <c r="A239" i="42"/>
  <c r="A233" i="42"/>
  <c r="A187" i="42"/>
  <c r="A222" i="42"/>
  <c r="A157" i="42"/>
  <c r="A110" i="42"/>
  <c r="A211" i="42"/>
  <c r="A226" i="42"/>
  <c r="A37" i="42"/>
  <c r="A120" i="42"/>
  <c r="A206" i="42"/>
  <c r="A84" i="42"/>
  <c r="A238" i="42"/>
  <c r="A69" i="42"/>
  <c r="A147" i="42"/>
  <c r="A155" i="42"/>
  <c r="A106" i="42"/>
  <c r="A68" i="42"/>
  <c r="A101" i="42"/>
  <c r="A189" i="42"/>
  <c r="A156" i="42"/>
  <c r="A160" i="42"/>
  <c r="A127" i="42"/>
  <c r="A7" i="42"/>
  <c r="A230" i="42"/>
  <c r="Z2" i="42"/>
  <c r="A38" i="42"/>
  <c r="A89" i="42"/>
  <c r="A236" i="42"/>
  <c r="A177" i="42"/>
  <c r="A53" i="42"/>
  <c r="A55" i="42"/>
  <c r="A83" i="42"/>
  <c r="A28" i="42"/>
  <c r="A217" i="42"/>
  <c r="A35" i="42"/>
  <c r="A205" i="42"/>
  <c r="A165" i="42"/>
  <c r="A152" i="42"/>
  <c r="A17" i="42"/>
  <c r="A229" i="42"/>
  <c r="A166" i="42"/>
  <c r="A224" i="42"/>
  <c r="A15" i="42"/>
  <c r="A114" i="42"/>
  <c r="A33" i="42"/>
  <c r="A50" i="42"/>
  <c r="A240" i="42"/>
  <c r="A57" i="42"/>
  <c r="A228" i="42"/>
  <c r="A143" i="42"/>
  <c r="A112" i="42"/>
  <c r="A21" i="42"/>
  <c r="A76" i="42"/>
  <c r="A91" i="42"/>
  <c r="A167" i="42"/>
  <c r="A134" i="42"/>
  <c r="A204" i="42"/>
  <c r="A70" i="42"/>
  <c r="A117" i="42"/>
  <c r="A184" i="42"/>
  <c r="A170" i="42"/>
  <c r="A223" i="42"/>
  <c r="A82" i="42"/>
  <c r="A197" i="42"/>
  <c r="A234" i="42"/>
  <c r="A214" i="42"/>
  <c r="A185" i="42"/>
  <c r="A154" i="42"/>
  <c r="A73" i="42"/>
  <c r="A24" i="42"/>
  <c r="A92" i="42"/>
  <c r="A201" i="42"/>
  <c r="A19" i="42"/>
  <c r="A237" i="42"/>
  <c r="A44" i="42"/>
  <c r="A235" i="42"/>
  <c r="A144" i="42"/>
  <c r="A63" i="42"/>
  <c r="A11" i="42"/>
  <c r="A220" i="42"/>
  <c r="A146" i="42"/>
  <c r="A158" i="42"/>
  <c r="A79" i="42"/>
  <c r="A186" i="42"/>
  <c r="A207" i="42"/>
  <c r="A181" i="42"/>
  <c r="A225" i="42"/>
  <c r="A14" i="42"/>
  <c r="A102" i="42"/>
  <c r="A199" i="42"/>
  <c r="A194" i="42"/>
  <c r="A85" i="42"/>
  <c r="A188" i="42"/>
  <c r="A48" i="42"/>
  <c r="A16" i="42"/>
  <c r="A219" i="42"/>
  <c r="A203" i="42"/>
  <c r="A216" i="42"/>
  <c r="A172" i="42"/>
  <c r="A71" i="42"/>
  <c r="A23" i="42"/>
  <c r="A18" i="42"/>
  <c r="A232" i="42"/>
  <c r="A47" i="42"/>
  <c r="A183" i="42"/>
  <c r="A43" i="42"/>
  <c r="A80" i="42"/>
  <c r="A125" i="42"/>
  <c r="A221" i="42"/>
  <c r="A58" i="42"/>
  <c r="A174" i="42"/>
  <c r="A161" i="42"/>
  <c r="A8" i="42"/>
  <c r="A175" i="42"/>
  <c r="A36" i="42"/>
  <c r="C194" i="42"/>
  <c r="C59" i="42"/>
  <c r="C125" i="42"/>
  <c r="C178" i="42"/>
  <c r="C160" i="42"/>
  <c r="C155" i="42"/>
  <c r="C157" i="42"/>
  <c r="C15" i="42"/>
  <c r="C166" i="42"/>
  <c r="C165" i="42"/>
  <c r="C215" i="42"/>
  <c r="C66" i="42"/>
  <c r="C230" i="42"/>
  <c r="C170" i="42"/>
  <c r="C82" i="42"/>
  <c r="C176" i="42"/>
  <c r="C175" i="42"/>
  <c r="C198" i="42"/>
  <c r="C179" i="42"/>
  <c r="C174" i="42"/>
  <c r="C128" i="42"/>
  <c r="C187" i="42"/>
  <c r="C85" i="42"/>
  <c r="C196" i="42"/>
  <c r="C120" i="42"/>
  <c r="C105" i="42"/>
  <c r="C208" i="42"/>
  <c r="C153" i="42"/>
  <c r="C72" i="42"/>
  <c r="C154" i="42"/>
  <c r="C36" i="42"/>
  <c r="C26" i="42"/>
  <c r="C164" i="42"/>
  <c r="C98" i="42"/>
  <c r="C7" i="42"/>
  <c r="C162" i="42"/>
  <c r="C136" i="42"/>
  <c r="C168" i="42"/>
  <c r="C173" i="42"/>
  <c r="C9" i="42"/>
  <c r="C163" i="42"/>
  <c r="C116" i="42"/>
  <c r="C86" i="42"/>
  <c r="C11" i="42"/>
  <c r="C25" i="42"/>
  <c r="C189" i="42"/>
  <c r="C152" i="42"/>
  <c r="C159" i="42"/>
  <c r="C61" i="42"/>
  <c r="C192" i="42"/>
  <c r="C44" i="42"/>
  <c r="C200" i="42"/>
  <c r="C202" i="42"/>
  <c r="C219" i="42"/>
  <c r="C17" i="42"/>
  <c r="C182" i="42"/>
  <c r="C76" i="42"/>
  <c r="C117" i="42"/>
  <c r="C115" i="42"/>
  <c r="C39" i="42"/>
  <c r="C12" i="42"/>
  <c r="C146" i="42"/>
  <c r="C239" i="42"/>
  <c r="C188" i="42"/>
  <c r="C186" i="42"/>
  <c r="C214" i="42"/>
  <c r="C50" i="42"/>
  <c r="C235" i="42"/>
  <c r="C29" i="42"/>
  <c r="C63" i="42"/>
  <c r="C73" i="42"/>
  <c r="C167" i="42"/>
  <c r="C104" i="42"/>
  <c r="C8" i="42"/>
  <c r="C35" i="42"/>
  <c r="C204" i="42"/>
  <c r="C24" i="42"/>
  <c r="C133" i="42"/>
  <c r="C67" i="42"/>
  <c r="C172" i="42"/>
  <c r="C110" i="42"/>
  <c r="C16" i="42"/>
  <c r="C156" i="42"/>
  <c r="C31" i="42"/>
  <c r="C93" i="42"/>
  <c r="C132" i="42"/>
  <c r="C112" i="42"/>
  <c r="C126" i="42"/>
  <c r="C68" i="42"/>
  <c r="C92" i="42"/>
  <c r="C27" i="42"/>
  <c r="C137" i="42"/>
  <c r="C19" i="42"/>
  <c r="C23" i="42"/>
  <c r="C234" i="42"/>
  <c r="C113" i="42"/>
  <c r="C13" i="42"/>
  <c r="C97" i="42"/>
  <c r="C54" i="42"/>
  <c r="C33" i="42"/>
  <c r="C111" i="42"/>
  <c r="C205" i="42"/>
  <c r="C140" i="42"/>
  <c r="C206" i="42"/>
  <c r="C69" i="42"/>
  <c r="C90" i="42"/>
  <c r="C123" i="42"/>
  <c r="C231" i="42"/>
  <c r="C131" i="42"/>
  <c r="G132" i="38" a="1"/>
  <c r="G132" i="38" s="1"/>
  <c r="H132" i="38" s="1"/>
  <c r="F132" i="38" a="1"/>
  <c r="F132" i="38" s="1"/>
  <c r="F5" i="48" a="1"/>
  <c r="F5" i="48" s="1"/>
  <c r="E5" i="48" a="1"/>
  <c r="E5" i="48" s="1"/>
  <c r="E134" i="32" a="1"/>
  <c r="E134" i="32" s="1"/>
  <c r="G134" i="32" a="1"/>
  <c r="G134" i="32" s="1"/>
  <c r="H134" i="32" s="1"/>
  <c r="T2" i="47"/>
  <c r="T43" i="47" s="1"/>
  <c r="D2" i="47"/>
  <c r="D45" i="47" s="1"/>
  <c r="BJ2" i="47"/>
  <c r="AJ2" i="47"/>
  <c r="AJ3" i="47" s="1"/>
  <c r="BG34" i="2"/>
  <c r="G131" i="36" a="1"/>
  <c r="G131" i="36" s="1"/>
  <c r="H131" i="36" s="1"/>
  <c r="E131" i="36" a="1"/>
  <c r="E131" i="36" s="1"/>
  <c r="A148" i="42"/>
  <c r="A77" i="42"/>
  <c r="C96" i="42"/>
  <c r="R60" i="47"/>
  <c r="AW2" i="49"/>
  <c r="AW4" i="49" s="1"/>
  <c r="G248" i="10"/>
  <c r="G258" i="10"/>
  <c r="G247" i="10"/>
  <c r="G249" i="10"/>
  <c r="G172" i="10"/>
  <c r="G173" i="10"/>
  <c r="G171" i="10"/>
  <c r="B34" i="18"/>
  <c r="B143" i="42"/>
  <c r="C16" i="7"/>
  <c r="CP35" i="7"/>
  <c r="CP39" i="7" s="1"/>
  <c r="B16" i="18"/>
  <c r="I27" i="20"/>
  <c r="B16" i="19"/>
  <c r="O13" i="1"/>
  <c r="F14" i="50"/>
  <c r="F12" i="41"/>
  <c r="I25" i="20"/>
  <c r="B14" i="19"/>
  <c r="B14" i="18"/>
  <c r="B13" i="19"/>
  <c r="B13" i="18"/>
  <c r="I24" i="20"/>
  <c r="B15" i="18"/>
  <c r="B15" i="19"/>
  <c r="I26" i="20"/>
  <c r="C339" i="10"/>
  <c r="G31" i="13"/>
  <c r="G30" i="13"/>
  <c r="G9" i="41" a="1"/>
  <c r="G9" i="41" s="1"/>
  <c r="R257" i="47"/>
  <c r="R5" i="47"/>
  <c r="R143" i="47"/>
  <c r="R67" i="47"/>
  <c r="R116" i="47"/>
  <c r="R149" i="47"/>
  <c r="B110" i="42"/>
  <c r="B65" i="42"/>
  <c r="R255" i="47"/>
  <c r="R217" i="47"/>
  <c r="R115" i="47"/>
  <c r="B225" i="42"/>
  <c r="B196" i="42"/>
  <c r="R193" i="47"/>
  <c r="R102" i="47"/>
  <c r="R194" i="47"/>
  <c r="R240" i="47"/>
  <c r="R211" i="47"/>
  <c r="R130" i="47"/>
  <c r="R210" i="47"/>
  <c r="R269" i="47"/>
  <c r="R70" i="47"/>
  <c r="B235" i="42"/>
  <c r="B219" i="42"/>
  <c r="R221" i="47"/>
  <c r="R227" i="47"/>
  <c r="R174" i="47"/>
  <c r="AC44" i="7" a="1"/>
  <c r="AC44" i="7" s="1"/>
  <c r="R250" i="47"/>
  <c r="R82" i="47"/>
  <c r="R231" i="47"/>
  <c r="R36" i="47"/>
  <c r="R238" i="47"/>
  <c r="U88" i="49"/>
  <c r="U55" i="49"/>
  <c r="U117" i="49"/>
  <c r="K7" i="41"/>
  <c r="R140" i="47"/>
  <c r="R16" i="47"/>
  <c r="R228" i="47"/>
  <c r="R163" i="47"/>
  <c r="R172" i="47"/>
  <c r="R160" i="47"/>
  <c r="U93" i="49"/>
  <c r="U27" i="49"/>
  <c r="U18" i="49"/>
  <c r="R90" i="49"/>
  <c r="R261" i="47"/>
  <c r="R192" i="47"/>
  <c r="R113" i="47"/>
  <c r="R180" i="47"/>
  <c r="R142" i="47"/>
  <c r="R212" i="47"/>
  <c r="G8" i="48" a="1"/>
  <c r="G8" i="48" s="1"/>
  <c r="R249" i="47"/>
  <c r="R162" i="47"/>
  <c r="R215" i="47"/>
  <c r="R31" i="47"/>
  <c r="R109" i="47"/>
  <c r="D53" i="42"/>
  <c r="D43" i="43"/>
  <c r="D217" i="43"/>
  <c r="D6" i="43"/>
  <c r="D5" i="43"/>
  <c r="D4" i="43"/>
  <c r="F37" i="42"/>
  <c r="F96" i="42"/>
  <c r="G8" i="46" a="1"/>
  <c r="G8" i="46" s="1"/>
  <c r="F127" i="34" a="1"/>
  <c r="F127" i="34" s="1"/>
  <c r="F235" i="42"/>
  <c r="F17" i="42"/>
  <c r="G7" i="41" a="1"/>
  <c r="G7" i="41" s="1"/>
  <c r="F175" i="42"/>
  <c r="T2" i="43"/>
  <c r="T149" i="43" s="1"/>
  <c r="F7" i="45" a="1"/>
  <c r="F7" i="45" s="1"/>
  <c r="F5" i="42"/>
  <c r="F133" i="42"/>
  <c r="G7" i="45" a="1"/>
  <c r="G7" i="45" s="1"/>
  <c r="F22" i="42"/>
  <c r="F83" i="42"/>
  <c r="D4" i="42"/>
  <c r="F225" i="42"/>
  <c r="F61" i="42"/>
  <c r="E8" i="46" a="1"/>
  <c r="E8" i="46" s="1"/>
  <c r="D89" i="43"/>
  <c r="B128" i="42"/>
  <c r="B148" i="42"/>
  <c r="F130" i="42"/>
  <c r="B100" i="42"/>
  <c r="B183" i="42"/>
  <c r="D181" i="43"/>
  <c r="B231" i="42"/>
  <c r="B126" i="42"/>
  <c r="D7" i="43"/>
  <c r="D178" i="43"/>
  <c r="F29" i="42"/>
  <c r="B210" i="42"/>
  <c r="D62" i="43"/>
  <c r="F178" i="42"/>
  <c r="B194" i="42"/>
  <c r="D174" i="43"/>
  <c r="D18" i="42"/>
  <c r="R20" i="49"/>
  <c r="B11" i="42"/>
  <c r="D106" i="43"/>
  <c r="D161" i="43"/>
  <c r="B98" i="42"/>
  <c r="D121" i="43"/>
  <c r="D141" i="43"/>
  <c r="R23" i="49"/>
  <c r="R61" i="49"/>
  <c r="R111" i="47"/>
  <c r="R157" i="47"/>
  <c r="R213" i="47"/>
  <c r="R57" i="47"/>
  <c r="R59" i="47"/>
  <c r="R123" i="47"/>
  <c r="R262" i="47"/>
  <c r="R245" i="47"/>
  <c r="B121" i="42"/>
  <c r="B169" i="42"/>
  <c r="D135" i="43"/>
  <c r="D90" i="43"/>
  <c r="D224" i="43"/>
  <c r="D194" i="43"/>
  <c r="R109" i="49"/>
  <c r="R132" i="47"/>
  <c r="R148" i="47"/>
  <c r="R136" i="47"/>
  <c r="R169" i="47"/>
  <c r="R41" i="47"/>
  <c r="R80" i="47"/>
  <c r="R253" i="47"/>
  <c r="R145" i="47"/>
  <c r="R27" i="47"/>
  <c r="B88" i="42"/>
  <c r="B223" i="42"/>
  <c r="B200" i="42"/>
  <c r="D118" i="43"/>
  <c r="D49" i="43"/>
  <c r="D32" i="43"/>
  <c r="D183" i="43"/>
  <c r="B60" i="42"/>
  <c r="R45" i="47"/>
  <c r="R110" i="47"/>
  <c r="R94" i="47"/>
  <c r="R39" i="47"/>
  <c r="R139" i="47"/>
  <c r="R29" i="47"/>
  <c r="R47" i="47"/>
  <c r="R154" i="47"/>
  <c r="R199" i="47"/>
  <c r="B57" i="42"/>
  <c r="B159" i="42"/>
  <c r="B26" i="42"/>
  <c r="D186" i="43"/>
  <c r="D131" i="43"/>
  <c r="D17" i="43"/>
  <c r="D128" i="43"/>
  <c r="D213" i="42"/>
  <c r="G10" i="45" a="1"/>
  <c r="G10" i="45" s="1"/>
  <c r="R81" i="49"/>
  <c r="D76" i="43"/>
  <c r="D58" i="43"/>
  <c r="D56" i="43"/>
  <c r="D177" i="43"/>
  <c r="B92" i="42"/>
  <c r="B42" i="42"/>
  <c r="D195" i="43"/>
  <c r="D44" i="43"/>
  <c r="D235" i="43"/>
  <c r="B208" i="42"/>
  <c r="B173" i="42"/>
  <c r="B119" i="42"/>
  <c r="B14" i="42"/>
  <c r="F204" i="42"/>
  <c r="R273" i="47"/>
  <c r="R272" i="47"/>
  <c r="R74" i="47"/>
  <c r="R61" i="47"/>
  <c r="R244" i="47"/>
  <c r="R266" i="47"/>
  <c r="R225" i="47"/>
  <c r="R151" i="47"/>
  <c r="R88" i="47"/>
  <c r="R214" i="47"/>
  <c r="R26" i="47"/>
  <c r="R200" i="47"/>
  <c r="R22" i="47"/>
  <c r="R72" i="47"/>
  <c r="R198" i="47"/>
  <c r="R268" i="47"/>
  <c r="R239" i="47"/>
  <c r="R35" i="47"/>
  <c r="R17" i="47"/>
  <c r="B21" i="42"/>
  <c r="B22" i="42"/>
  <c r="B215" i="42"/>
  <c r="B28" i="42"/>
  <c r="B72" i="42"/>
  <c r="B10" i="42"/>
  <c r="B78" i="42"/>
  <c r="D227" i="43"/>
  <c r="D63" i="43"/>
  <c r="D18" i="43"/>
  <c r="D71" i="43"/>
  <c r="D185" i="43"/>
  <c r="D16" i="43"/>
  <c r="D91" i="43"/>
  <c r="D15" i="43"/>
  <c r="D117" i="43"/>
  <c r="D142" i="43"/>
  <c r="D98" i="43"/>
  <c r="D50" i="43"/>
  <c r="B61" i="42"/>
  <c r="U122" i="49"/>
  <c r="U70" i="49"/>
  <c r="E16" i="42"/>
  <c r="E66" i="42"/>
  <c r="E221" i="42"/>
  <c r="E82" i="42"/>
  <c r="U83" i="49"/>
  <c r="U118" i="49"/>
  <c r="U59" i="49"/>
  <c r="U103" i="49"/>
  <c r="U16" i="49"/>
  <c r="U123" i="49"/>
  <c r="U36" i="49"/>
  <c r="U14" i="49"/>
  <c r="B160" i="42"/>
  <c r="B140" i="42"/>
  <c r="B18" i="42"/>
  <c r="B132" i="42"/>
  <c r="B90" i="42"/>
  <c r="F28" i="42"/>
  <c r="R183" i="47"/>
  <c r="R33" i="47"/>
  <c r="R150" i="47"/>
  <c r="R99" i="47"/>
  <c r="R4" i="47"/>
  <c r="R95" i="47"/>
  <c r="R280" i="47"/>
  <c r="R260" i="47"/>
  <c r="R103" i="47"/>
  <c r="R161" i="47"/>
  <c r="R40" i="47"/>
  <c r="R279" i="47"/>
  <c r="R14" i="47"/>
  <c r="R13" i="47"/>
  <c r="R18" i="47"/>
  <c r="R195" i="47"/>
  <c r="R86" i="47"/>
  <c r="R58" i="47"/>
  <c r="B131" i="42"/>
  <c r="B122" i="42"/>
  <c r="B177" i="42"/>
  <c r="B117" i="42"/>
  <c r="B55" i="42"/>
  <c r="B239" i="42"/>
  <c r="B105" i="42"/>
  <c r="D163" i="43"/>
  <c r="D105" i="43"/>
  <c r="D113" i="43"/>
  <c r="D109" i="43"/>
  <c r="D129" i="43"/>
  <c r="D237" i="43"/>
  <c r="D133" i="43"/>
  <c r="D223" i="43"/>
  <c r="D53" i="43"/>
  <c r="D236" i="43"/>
  <c r="D149" i="43"/>
  <c r="D158" i="42"/>
  <c r="U111" i="49"/>
  <c r="U78" i="49"/>
  <c r="E126" i="42"/>
  <c r="E190" i="42"/>
  <c r="E23" i="42"/>
  <c r="E237" i="42"/>
  <c r="E147" i="42"/>
  <c r="E232" i="42"/>
  <c r="U44" i="49"/>
  <c r="U99" i="49"/>
  <c r="U125" i="49"/>
  <c r="U22" i="49"/>
  <c r="U58" i="49"/>
  <c r="U74" i="49"/>
  <c r="U124" i="49"/>
  <c r="U45" i="49"/>
  <c r="D59" i="43"/>
  <c r="D101" i="43"/>
  <c r="D30" i="43"/>
  <c r="D207" i="43"/>
  <c r="B138" i="42"/>
  <c r="B206" i="42"/>
  <c r="B85" i="42"/>
  <c r="B190" i="42"/>
  <c r="B86" i="42"/>
  <c r="B221" i="42"/>
  <c r="F14" i="42"/>
  <c r="F25" i="42"/>
  <c r="R76" i="47"/>
  <c r="R93" i="47"/>
  <c r="R156" i="47"/>
  <c r="R114" i="47"/>
  <c r="R276" i="47"/>
  <c r="R237" i="47"/>
  <c r="R43" i="47"/>
  <c r="R258" i="47"/>
  <c r="R6" i="47"/>
  <c r="R256" i="47"/>
  <c r="R55" i="47"/>
  <c r="R106" i="47"/>
  <c r="R182" i="47"/>
  <c r="R251" i="47"/>
  <c r="R25" i="47"/>
  <c r="R51" i="47"/>
  <c r="R56" i="47"/>
  <c r="R184" i="47"/>
  <c r="AA2" i="42"/>
  <c r="B205" i="42"/>
  <c r="B34" i="42"/>
  <c r="B115" i="42"/>
  <c r="B152" i="42"/>
  <c r="B156" i="42"/>
  <c r="B111" i="42"/>
  <c r="D55" i="43"/>
  <c r="D104" i="43"/>
  <c r="D150" i="43"/>
  <c r="D160" i="43"/>
  <c r="D10" i="43"/>
  <c r="D45" i="43"/>
  <c r="D28" i="43"/>
  <c r="D116" i="43"/>
  <c r="D239" i="43"/>
  <c r="D86" i="43"/>
  <c r="D187" i="43"/>
  <c r="F189" i="42"/>
  <c r="U48" i="49"/>
  <c r="U52" i="49"/>
  <c r="E210" i="42"/>
  <c r="E51" i="42"/>
  <c r="E113" i="42"/>
  <c r="E177" i="42"/>
  <c r="E121" i="42"/>
  <c r="E204" i="42"/>
  <c r="U120" i="49"/>
  <c r="U95" i="49"/>
  <c r="U28" i="49"/>
  <c r="U29" i="49"/>
  <c r="U37" i="49"/>
  <c r="U57" i="49"/>
  <c r="U25" i="49"/>
  <c r="U31" i="49"/>
  <c r="R24" i="49"/>
  <c r="R111" i="49"/>
  <c r="B38" i="42"/>
  <c r="B207" i="42"/>
  <c r="B141" i="42"/>
  <c r="B211" i="42"/>
  <c r="B191" i="42"/>
  <c r="B192" i="42"/>
  <c r="B51" i="42"/>
  <c r="D136" i="43"/>
  <c r="D166" i="43"/>
  <c r="D87" i="43"/>
  <c r="D201" i="43"/>
  <c r="D159" i="43"/>
  <c r="D226" i="43"/>
  <c r="D79" i="43"/>
  <c r="D122" i="43"/>
  <c r="D48" i="43"/>
  <c r="D54" i="43"/>
  <c r="D82" i="43"/>
  <c r="B224" i="42"/>
  <c r="B64" i="42"/>
  <c r="B106" i="42"/>
  <c r="B166" i="42"/>
  <c r="F45" i="42"/>
  <c r="R171" i="47"/>
  <c r="R133" i="47"/>
  <c r="R23" i="47"/>
  <c r="R223" i="47"/>
  <c r="R254" i="47"/>
  <c r="R83" i="47"/>
  <c r="R91" i="47"/>
  <c r="R112" i="47"/>
  <c r="R37" i="47"/>
  <c r="R222" i="47"/>
  <c r="R62" i="47"/>
  <c r="R119" i="47"/>
  <c r="R78" i="47"/>
  <c r="R9" i="47"/>
  <c r="R252" i="47"/>
  <c r="R234" i="47"/>
  <c r="R129" i="47"/>
  <c r="R44" i="47"/>
  <c r="R104" i="47"/>
  <c r="B59" i="42"/>
  <c r="B116" i="42"/>
  <c r="B212" i="42"/>
  <c r="B96" i="42"/>
  <c r="B77" i="42"/>
  <c r="B94" i="42"/>
  <c r="B133" i="42"/>
  <c r="D222" i="43"/>
  <c r="D199" i="43"/>
  <c r="D215" i="43"/>
  <c r="D146" i="43"/>
  <c r="D51" i="43"/>
  <c r="D120" i="43"/>
  <c r="D114" i="43"/>
  <c r="D203" i="43"/>
  <c r="D36" i="43"/>
  <c r="D22" i="43"/>
  <c r="D92" i="43"/>
  <c r="D94" i="43"/>
  <c r="B186" i="42"/>
  <c r="U97" i="49"/>
  <c r="U39" i="49"/>
  <c r="E29" i="42"/>
  <c r="E93" i="42"/>
  <c r="E59" i="42"/>
  <c r="E44" i="42"/>
  <c r="U107" i="49"/>
  <c r="U112" i="49"/>
  <c r="U102" i="49"/>
  <c r="U10" i="49"/>
  <c r="U46" i="49"/>
  <c r="U90" i="49"/>
  <c r="U34" i="49"/>
  <c r="R6" i="49"/>
  <c r="F103" i="49"/>
  <c r="R33" i="49"/>
  <c r="N11" i="50"/>
  <c r="R12" i="50"/>
  <c r="F84" i="49"/>
  <c r="F66" i="49"/>
  <c r="F91" i="49"/>
  <c r="L7" i="50"/>
  <c r="P7" i="50"/>
  <c r="G5" i="45" a="1"/>
  <c r="G5" i="45" s="1"/>
  <c r="G11" i="45" s="1"/>
  <c r="G13" i="45" s="1"/>
  <c r="F23" i="49"/>
  <c r="P11" i="50"/>
  <c r="N12" i="50"/>
  <c r="C38" i="25"/>
  <c r="F5" i="45" a="1"/>
  <c r="F5" i="45" s="1"/>
  <c r="F11" i="45" s="1"/>
  <c r="F13" i="45" s="1"/>
  <c r="G5" i="48" a="1"/>
  <c r="G5" i="48" s="1"/>
  <c r="F86" i="49"/>
  <c r="P12" i="50"/>
  <c r="R7" i="50"/>
  <c r="L11" i="50"/>
  <c r="B226" i="42"/>
  <c r="B52" i="42"/>
  <c r="F125" i="49"/>
  <c r="R2" i="43"/>
  <c r="R3" i="43" s="1"/>
  <c r="F59" i="49"/>
  <c r="N7" i="50"/>
  <c r="R11" i="50"/>
  <c r="L12" i="50"/>
  <c r="F113" i="49"/>
  <c r="F24" i="49"/>
  <c r="F60" i="49"/>
  <c r="K6" i="45"/>
  <c r="V2" i="49"/>
  <c r="V104" i="49" s="1"/>
  <c r="G127" i="38" a="1"/>
  <c r="G127" i="38" s="1"/>
  <c r="G131" i="38" s="1" a="1"/>
  <c r="G131" i="38" s="1"/>
  <c r="F46" i="49"/>
  <c r="F53" i="49"/>
  <c r="F122" i="49"/>
  <c r="F13" i="49"/>
  <c r="F15" i="49"/>
  <c r="F37" i="49"/>
  <c r="F95" i="49"/>
  <c r="F58" i="49"/>
  <c r="F76" i="49"/>
  <c r="F89" i="49"/>
  <c r="F124" i="49"/>
  <c r="F88" i="49"/>
  <c r="F32" i="49"/>
  <c r="F99" i="49"/>
  <c r="F57" i="49"/>
  <c r="R79" i="49"/>
  <c r="R88" i="49"/>
  <c r="R124" i="49"/>
  <c r="F72" i="49"/>
  <c r="F6" i="46" a="1"/>
  <c r="F6" i="46" s="1"/>
  <c r="BB2" i="49"/>
  <c r="BB5" i="49" s="1"/>
  <c r="F77" i="49"/>
  <c r="F65" i="49"/>
  <c r="F92" i="49"/>
  <c r="F98" i="49"/>
  <c r="F18" i="49"/>
  <c r="F117" i="49"/>
  <c r="F42" i="49"/>
  <c r="F105" i="49"/>
  <c r="F30" i="49"/>
  <c r="F94" i="49"/>
  <c r="F96" i="49"/>
  <c r="F41" i="49"/>
  <c r="K10" i="48"/>
  <c r="K6" i="46"/>
  <c r="F10" i="48" a="1"/>
  <c r="F10" i="48" s="1"/>
  <c r="G6" i="46" a="1"/>
  <c r="G6" i="46" s="1"/>
  <c r="AL2" i="49"/>
  <c r="AL82" i="49" s="1"/>
  <c r="F38" i="49"/>
  <c r="F121" i="49"/>
  <c r="F87" i="49"/>
  <c r="F17" i="49"/>
  <c r="F90" i="49"/>
  <c r="F40" i="49"/>
  <c r="F10" i="49"/>
  <c r="F73" i="49"/>
  <c r="F82" i="49"/>
  <c r="F8" i="49"/>
  <c r="F108" i="49"/>
  <c r="F55" i="49"/>
  <c r="F52" i="49"/>
  <c r="F4" i="49"/>
  <c r="T11" i="50"/>
  <c r="E10" i="48" a="1"/>
  <c r="E10" i="48" s="1"/>
  <c r="CB2" i="49"/>
  <c r="F75" i="49"/>
  <c r="F45" i="49"/>
  <c r="F25" i="49"/>
  <c r="F69" i="49"/>
  <c r="F54" i="49"/>
  <c r="F64" i="49"/>
  <c r="F56" i="49"/>
  <c r="F109" i="49"/>
  <c r="F97" i="49"/>
  <c r="F67" i="49"/>
  <c r="F35" i="49"/>
  <c r="F115" i="49"/>
  <c r="R13" i="49"/>
  <c r="R15" i="49"/>
  <c r="B147" i="42"/>
  <c r="F79" i="49"/>
  <c r="F29" i="49"/>
  <c r="F22" i="49"/>
  <c r="F28" i="49"/>
  <c r="F16" i="49"/>
  <c r="F112" i="49"/>
  <c r="F21" i="49"/>
  <c r="F93" i="49"/>
  <c r="F123" i="49"/>
  <c r="F36" i="49"/>
  <c r="F61" i="49"/>
  <c r="F81" i="49"/>
  <c r="F19" i="49"/>
  <c r="R115" i="49"/>
  <c r="R123" i="49"/>
  <c r="R54" i="49"/>
  <c r="R38" i="49"/>
  <c r="F107" i="49"/>
  <c r="F6" i="49"/>
  <c r="F119" i="49"/>
  <c r="F49" i="49"/>
  <c r="F74" i="49"/>
  <c r="F102" i="49"/>
  <c r="F50" i="49"/>
  <c r="F80" i="49"/>
  <c r="F116" i="49"/>
  <c r="F48" i="49"/>
  <c r="F51" i="49"/>
  <c r="F83" i="49"/>
  <c r="F63" i="49"/>
  <c r="F31" i="49"/>
  <c r="F5" i="49"/>
  <c r="G125" i="34" a="1"/>
  <c r="G125" i="34" s="1"/>
  <c r="F26" i="49"/>
  <c r="F11" i="49"/>
  <c r="F101" i="49"/>
  <c r="F111" i="49"/>
  <c r="F62" i="49"/>
  <c r="F68" i="49"/>
  <c r="F20" i="49"/>
  <c r="F120" i="49"/>
  <c r="F118" i="49"/>
  <c r="F110" i="49"/>
  <c r="F100" i="49"/>
  <c r="F44" i="49"/>
  <c r="F106" i="49"/>
  <c r="T10" i="50"/>
  <c r="F12" i="49"/>
  <c r="F114" i="49"/>
  <c r="F85" i="49"/>
  <c r="F7" i="49"/>
  <c r="F71" i="49"/>
  <c r="F43" i="49"/>
  <c r="F104" i="49"/>
  <c r="F27" i="49"/>
  <c r="F39" i="49"/>
  <c r="R19" i="49"/>
  <c r="R107" i="49"/>
  <c r="Q2" i="43"/>
  <c r="A2" i="43"/>
  <c r="A3" i="43" s="1"/>
  <c r="R110" i="49"/>
  <c r="R4" i="49"/>
  <c r="R86" i="49"/>
  <c r="E6" i="45" a="1"/>
  <c r="E6" i="45" s="1"/>
  <c r="G130" i="36" a="1"/>
  <c r="G130" i="36" s="1"/>
  <c r="F47" i="49"/>
  <c r="F78" i="49"/>
  <c r="F14" i="49"/>
  <c r="F9" i="49"/>
  <c r="F34" i="49"/>
  <c r="R68" i="49"/>
  <c r="F88" i="42"/>
  <c r="B163" i="42"/>
  <c r="D118" i="42"/>
  <c r="D96" i="42"/>
  <c r="G6" i="45" a="1"/>
  <c r="G6" i="45" s="1"/>
  <c r="D112" i="42"/>
  <c r="B176" i="42"/>
  <c r="D188" i="42"/>
  <c r="D207" i="42"/>
  <c r="F228" i="42"/>
  <c r="B7" i="42"/>
  <c r="D165" i="42"/>
  <c r="E9" i="45" a="1"/>
  <c r="E9" i="45" s="1"/>
  <c r="E129" i="30" a="1"/>
  <c r="E129" i="30" s="1"/>
  <c r="G129" i="30" a="1"/>
  <c r="G129" i="30" s="1"/>
  <c r="G10" i="41" a="1"/>
  <c r="G10" i="41" s="1"/>
  <c r="E10" i="41" a="1"/>
  <c r="E10" i="41" s="1"/>
  <c r="F10" i="41" a="1"/>
  <c r="F10" i="41" s="1"/>
  <c r="A2" i="47"/>
  <c r="A3" i="47" s="1"/>
  <c r="BG2" i="47"/>
  <c r="U113" i="49"/>
  <c r="U115" i="49"/>
  <c r="U79" i="49"/>
  <c r="U23" i="49"/>
  <c r="U63" i="49"/>
  <c r="U9" i="49"/>
  <c r="U87" i="49"/>
  <c r="U53" i="49"/>
  <c r="U68" i="49"/>
  <c r="U114" i="49"/>
  <c r="U94" i="49"/>
  <c r="U60" i="49"/>
  <c r="U77" i="49"/>
  <c r="U17" i="49"/>
  <c r="U100" i="49"/>
  <c r="U15" i="49"/>
  <c r="U26" i="49"/>
  <c r="U20" i="49"/>
  <c r="U75" i="49"/>
  <c r="U119" i="49"/>
  <c r="U4" i="49"/>
  <c r="U33" i="49"/>
  <c r="U24" i="49"/>
  <c r="U6" i="49"/>
  <c r="U89" i="49"/>
  <c r="U105" i="49"/>
  <c r="U35" i="49"/>
  <c r="U71" i="49"/>
  <c r="U65" i="49"/>
  <c r="U54" i="49"/>
  <c r="U38" i="49"/>
  <c r="U106" i="49"/>
  <c r="U69" i="49"/>
  <c r="U96" i="49"/>
  <c r="U12" i="49"/>
  <c r="U92" i="49"/>
  <c r="U98" i="49"/>
  <c r="U43" i="49"/>
  <c r="U101" i="49"/>
  <c r="U30" i="49"/>
  <c r="U91" i="49"/>
  <c r="U82" i="49"/>
  <c r="U5" i="49"/>
  <c r="E218" i="42"/>
  <c r="E212" i="42"/>
  <c r="E76" i="42"/>
  <c r="E20" i="42"/>
  <c r="E115" i="42"/>
  <c r="E219" i="42"/>
  <c r="E57" i="42"/>
  <c r="E49" i="42"/>
  <c r="E195" i="42"/>
  <c r="E134" i="42"/>
  <c r="E199" i="42"/>
  <c r="E32" i="42"/>
  <c r="E9" i="42"/>
  <c r="E187" i="42"/>
  <c r="E41" i="42"/>
  <c r="E198" i="42"/>
  <c r="E149" i="42"/>
  <c r="E70" i="42"/>
  <c r="E140" i="42"/>
  <c r="E146" i="42"/>
  <c r="BL2" i="47"/>
  <c r="V2" i="47"/>
  <c r="D124" i="43"/>
  <c r="D134" i="43"/>
  <c r="D27" i="43"/>
  <c r="D73" i="43"/>
  <c r="D96" i="43"/>
  <c r="B125" i="42"/>
  <c r="B189" i="42"/>
  <c r="B75" i="42"/>
  <c r="B198" i="42"/>
  <c r="D175" i="42"/>
  <c r="D182" i="43"/>
  <c r="D41" i="43"/>
  <c r="D130" i="43"/>
  <c r="D110" i="43"/>
  <c r="D214" i="43"/>
  <c r="B182" i="42"/>
  <c r="B157" i="42"/>
  <c r="B62" i="42"/>
  <c r="B165" i="42"/>
  <c r="B153" i="42"/>
  <c r="B74" i="42"/>
  <c r="D39" i="42"/>
  <c r="B99" i="42"/>
  <c r="D78" i="42"/>
  <c r="B9" i="42"/>
  <c r="B71" i="42"/>
  <c r="D194" i="42"/>
  <c r="D32" i="42"/>
  <c r="D101" i="42"/>
  <c r="B23" i="42"/>
  <c r="B158" i="42"/>
  <c r="B41" i="42"/>
  <c r="D237" i="42"/>
  <c r="B108" i="42"/>
  <c r="D133" i="42"/>
  <c r="B27" i="42"/>
  <c r="B164" i="42"/>
  <c r="B129" i="42"/>
  <c r="B216" i="42"/>
  <c r="E7" i="41" a="1"/>
  <c r="E7" i="41" s="1"/>
  <c r="B170" i="42"/>
  <c r="B202" i="42"/>
  <c r="B130" i="42"/>
  <c r="B13" i="42"/>
  <c r="B172" i="42"/>
  <c r="B139" i="42"/>
  <c r="B69" i="42"/>
  <c r="B123" i="42"/>
  <c r="B203" i="42"/>
  <c r="D35" i="43"/>
  <c r="D139" i="43"/>
  <c r="D211" i="43"/>
  <c r="D158" i="43"/>
  <c r="D115" i="43"/>
  <c r="D42" i="43"/>
  <c r="D234" i="43"/>
  <c r="D60" i="43"/>
  <c r="D140" i="43"/>
  <c r="D21" i="43"/>
  <c r="D202" i="43"/>
  <c r="D221" i="43"/>
  <c r="D172" i="43"/>
  <c r="D191" i="43"/>
  <c r="D198" i="43"/>
  <c r="D66" i="43"/>
  <c r="D104" i="42"/>
  <c r="F8" i="42"/>
  <c r="B199" i="42"/>
  <c r="B101" i="42"/>
  <c r="B201" i="42"/>
  <c r="D103" i="42"/>
  <c r="D162" i="42"/>
  <c r="B67" i="42"/>
  <c r="B228" i="42"/>
  <c r="B136" i="42"/>
  <c r="B155" i="42"/>
  <c r="B63" i="42"/>
  <c r="B35" i="42"/>
  <c r="B113" i="42"/>
  <c r="B73" i="42"/>
  <c r="B24" i="42"/>
  <c r="B16" i="42"/>
  <c r="D204" i="43"/>
  <c r="D29" i="43"/>
  <c r="D173" i="43"/>
  <c r="D229" i="43"/>
  <c r="D144" i="43"/>
  <c r="D14" i="43"/>
  <c r="D231" i="43"/>
  <c r="D175" i="43"/>
  <c r="D33" i="43"/>
  <c r="D111" i="43"/>
  <c r="D137" i="43"/>
  <c r="D77" i="43"/>
  <c r="D145" i="43"/>
  <c r="D84" i="43"/>
  <c r="D152" i="43"/>
  <c r="D169" i="43"/>
  <c r="D25" i="43"/>
  <c r="B91" i="42"/>
  <c r="F191" i="42"/>
  <c r="B102" i="42"/>
  <c r="B33" i="42"/>
  <c r="B134" i="42"/>
  <c r="D68" i="42"/>
  <c r="D50" i="42"/>
  <c r="E75" i="43"/>
  <c r="E33" i="43"/>
  <c r="E232" i="43"/>
  <c r="E36" i="43"/>
  <c r="E56" i="43"/>
  <c r="E148" i="43"/>
  <c r="E116" i="43"/>
  <c r="E21" i="43"/>
  <c r="E142" i="43"/>
  <c r="E236" i="43"/>
  <c r="E166" i="43"/>
  <c r="E158" i="43"/>
  <c r="E14" i="43"/>
  <c r="E88" i="43"/>
  <c r="E107" i="43"/>
  <c r="E203" i="43"/>
  <c r="E167" i="43"/>
  <c r="E188" i="43"/>
  <c r="E46" i="43"/>
  <c r="E240" i="43"/>
  <c r="E93" i="43"/>
  <c r="E175" i="43"/>
  <c r="E105" i="43"/>
  <c r="E127" i="43"/>
  <c r="E26" i="43"/>
  <c r="E22" i="43"/>
  <c r="E214" i="43"/>
  <c r="E52" i="43"/>
  <c r="E12" i="43"/>
  <c r="E111" i="43"/>
  <c r="E70" i="43"/>
  <c r="E82" i="43"/>
  <c r="E172" i="43"/>
  <c r="E144" i="43"/>
  <c r="E126" i="43"/>
  <c r="E174" i="43"/>
  <c r="E35" i="43"/>
  <c r="E15" i="43"/>
  <c r="E195" i="43"/>
  <c r="E81" i="43"/>
  <c r="E10" i="43"/>
  <c r="E128" i="43"/>
  <c r="E136" i="43"/>
  <c r="E223" i="43"/>
  <c r="E200" i="43"/>
  <c r="E51" i="43"/>
  <c r="E194" i="43"/>
  <c r="E39" i="43"/>
  <c r="E79" i="43"/>
  <c r="E198" i="43"/>
  <c r="E205" i="43"/>
  <c r="E226" i="43"/>
  <c r="E173" i="43"/>
  <c r="E98" i="43"/>
  <c r="E28" i="43"/>
  <c r="E154" i="43"/>
  <c r="E231" i="43"/>
  <c r="E185" i="43"/>
  <c r="E92" i="43"/>
  <c r="E20" i="43"/>
  <c r="E110" i="43"/>
  <c r="E78" i="43"/>
  <c r="E215" i="43"/>
  <c r="E117" i="43"/>
  <c r="E102" i="43"/>
  <c r="E123" i="43"/>
  <c r="E101" i="43"/>
  <c r="E85" i="43"/>
  <c r="E138" i="43"/>
  <c r="E218" i="43"/>
  <c r="E62" i="43"/>
  <c r="E235" i="43"/>
  <c r="E122" i="43"/>
  <c r="E25" i="43"/>
  <c r="E234" i="43"/>
  <c r="E43" i="43"/>
  <c r="E237" i="43"/>
  <c r="E193" i="43"/>
  <c r="E89" i="43"/>
  <c r="E58" i="43"/>
  <c r="E155" i="43"/>
  <c r="E87" i="43"/>
  <c r="E197" i="43"/>
  <c r="E221" i="43"/>
  <c r="E83" i="43"/>
  <c r="E208" i="43"/>
  <c r="E91" i="43"/>
  <c r="E50" i="43"/>
  <c r="E206" i="43"/>
  <c r="E65" i="43"/>
  <c r="E179" i="43"/>
  <c r="E71" i="43"/>
  <c r="E161" i="43"/>
  <c r="E225" i="43"/>
  <c r="E86" i="43"/>
  <c r="E42" i="43"/>
  <c r="E16" i="43"/>
  <c r="E196" i="43"/>
  <c r="E68" i="43"/>
  <c r="E183" i="43"/>
  <c r="E100" i="43"/>
  <c r="E49" i="43"/>
  <c r="E212" i="43"/>
  <c r="E37" i="43"/>
  <c r="E170" i="43"/>
  <c r="E217" i="43"/>
  <c r="E130" i="43"/>
  <c r="E84" i="43"/>
  <c r="E171" i="43"/>
  <c r="E143" i="43"/>
  <c r="E139" i="43"/>
  <c r="E160" i="43"/>
  <c r="E64" i="43"/>
  <c r="E47" i="43"/>
  <c r="E103" i="43"/>
  <c r="E228" i="43"/>
  <c r="E187" i="43"/>
  <c r="E153" i="43"/>
  <c r="E137" i="43"/>
  <c r="E238" i="43"/>
  <c r="E239" i="43"/>
  <c r="E165" i="43"/>
  <c r="E95" i="43"/>
  <c r="E104" i="43"/>
  <c r="E184" i="43"/>
  <c r="E224" i="43"/>
  <c r="E90" i="43"/>
  <c r="E121" i="43"/>
  <c r="E140" i="43"/>
  <c r="E34" i="43"/>
  <c r="E114" i="43"/>
  <c r="AS2" i="43"/>
  <c r="E69" i="43"/>
  <c r="E73" i="43"/>
  <c r="E146" i="43"/>
  <c r="E156" i="43"/>
  <c r="E233" i="43"/>
  <c r="E192" i="43"/>
  <c r="E18" i="43"/>
  <c r="E190" i="43"/>
  <c r="E106" i="43"/>
  <c r="E150" i="43"/>
  <c r="E13" i="43"/>
  <c r="E108" i="43"/>
  <c r="E141" i="43"/>
  <c r="E213" i="43"/>
  <c r="E74" i="43"/>
  <c r="E96" i="43"/>
  <c r="E11" i="43"/>
  <c r="E131" i="43"/>
  <c r="E109" i="43"/>
  <c r="E189" i="43"/>
  <c r="E29" i="43"/>
  <c r="E53" i="43"/>
  <c r="E57" i="43"/>
  <c r="E120" i="43"/>
  <c r="E199" i="43"/>
  <c r="E229" i="43"/>
  <c r="E132" i="43"/>
  <c r="E48" i="43"/>
  <c r="E125" i="43"/>
  <c r="E113" i="43"/>
  <c r="E115" i="43"/>
  <c r="E24" i="43"/>
  <c r="E45" i="43"/>
  <c r="E157" i="43"/>
  <c r="E27" i="43"/>
  <c r="E204" i="43"/>
  <c r="E55" i="43"/>
  <c r="E159" i="43"/>
  <c r="E216" i="43"/>
  <c r="E222" i="43"/>
  <c r="E44" i="43"/>
  <c r="E147" i="43"/>
  <c r="E30" i="43"/>
  <c r="E63" i="43"/>
  <c r="E8" i="43"/>
  <c r="E54" i="43"/>
  <c r="E112" i="43"/>
  <c r="E17" i="43"/>
  <c r="E220" i="43"/>
  <c r="E180" i="43"/>
  <c r="E31" i="43"/>
  <c r="E210" i="43"/>
  <c r="E178" i="43"/>
  <c r="E227" i="43"/>
  <c r="E230" i="43"/>
  <c r="E186" i="43"/>
  <c r="E152" i="43"/>
  <c r="E118" i="43"/>
  <c r="E176" i="43"/>
  <c r="E76" i="43"/>
  <c r="E19" i="43"/>
  <c r="E40" i="43"/>
  <c r="E60" i="43"/>
  <c r="E135" i="43"/>
  <c r="E59" i="43"/>
  <c r="E134" i="43"/>
  <c r="E23" i="43"/>
  <c r="E38" i="43"/>
  <c r="E182" i="43"/>
  <c r="E181" i="43"/>
  <c r="E66" i="43"/>
  <c r="E41" i="43"/>
  <c r="E9" i="43"/>
  <c r="E61" i="43"/>
  <c r="E169" i="43"/>
  <c r="E202" i="43"/>
  <c r="E119" i="43"/>
  <c r="E211" i="43"/>
  <c r="E219" i="43"/>
  <c r="E162" i="43"/>
  <c r="E124" i="43"/>
  <c r="E163" i="43"/>
  <c r="E133" i="43"/>
  <c r="E164" i="43"/>
  <c r="E32" i="43"/>
  <c r="E151" i="43"/>
  <c r="E67" i="43"/>
  <c r="E145" i="43"/>
  <c r="E99" i="43"/>
  <c r="E209" i="43"/>
  <c r="E177" i="43"/>
  <c r="E168" i="43"/>
  <c r="E94" i="43"/>
  <c r="E72" i="43"/>
  <c r="E97" i="43"/>
  <c r="E149" i="43"/>
  <c r="E191" i="43"/>
  <c r="E129" i="43"/>
  <c r="E207" i="43"/>
  <c r="E80" i="43"/>
  <c r="E77" i="43"/>
  <c r="E7" i="43"/>
  <c r="E201" i="43"/>
  <c r="B49" i="42"/>
  <c r="F131" i="38" a="1"/>
  <c r="F131" i="38" s="1"/>
  <c r="F140" i="38" s="1"/>
  <c r="G132" i="36"/>
  <c r="G134" i="36" s="1"/>
  <c r="R248" i="47"/>
  <c r="R90" i="47"/>
  <c r="R98" i="47"/>
  <c r="R264" i="47"/>
  <c r="R209" i="47"/>
  <c r="R21" i="47"/>
  <c r="R19" i="47"/>
  <c r="R216" i="47"/>
  <c r="R155" i="47"/>
  <c r="R120" i="47"/>
  <c r="R205" i="47"/>
  <c r="R164" i="47"/>
  <c r="R117" i="47"/>
  <c r="AL153" i="47"/>
  <c r="AL105" i="47"/>
  <c r="AL28" i="47"/>
  <c r="AL221" i="47"/>
  <c r="AL277" i="47"/>
  <c r="AL223" i="47"/>
  <c r="AL72" i="47"/>
  <c r="AL190" i="47"/>
  <c r="AL262" i="47"/>
  <c r="AL63" i="47"/>
  <c r="AL177" i="47"/>
  <c r="AL13" i="47"/>
  <c r="AL85" i="47"/>
  <c r="AL40" i="47"/>
  <c r="AL125" i="47"/>
  <c r="AL256" i="47"/>
  <c r="AL98" i="47"/>
  <c r="AL87" i="47"/>
  <c r="AL74" i="47"/>
  <c r="AL34" i="47"/>
  <c r="AL135" i="47"/>
  <c r="AL207" i="47"/>
  <c r="AL180" i="47"/>
  <c r="AL248" i="47"/>
  <c r="AL201" i="47"/>
  <c r="AL147" i="47"/>
  <c r="AL86" i="47"/>
  <c r="AL73" i="47"/>
  <c r="AL148" i="47"/>
  <c r="AL144" i="47"/>
  <c r="AL119" i="47"/>
  <c r="AL46" i="47"/>
  <c r="AL179" i="47"/>
  <c r="AL70" i="47"/>
  <c r="AL267" i="47"/>
  <c r="AL155" i="47"/>
  <c r="AL121" i="47"/>
  <c r="AL193" i="47"/>
  <c r="AL27" i="47"/>
  <c r="AL76" i="47"/>
  <c r="AL17" i="47"/>
  <c r="AL156" i="47"/>
  <c r="AL228" i="47"/>
  <c r="AL168" i="47"/>
  <c r="AL227" i="47"/>
  <c r="AL210" i="47"/>
  <c r="AL48" i="47"/>
  <c r="AL66" i="47"/>
  <c r="AL51" i="47"/>
  <c r="AL269" i="47"/>
  <c r="AL278" i="47"/>
  <c r="AL206" i="47"/>
  <c r="AL96" i="47"/>
  <c r="AL90" i="47"/>
  <c r="AL276" i="47"/>
  <c r="AL14" i="47"/>
  <c r="AL80" i="47"/>
  <c r="AL68" i="47"/>
  <c r="AL53" i="47"/>
  <c r="AL183" i="47"/>
  <c r="AL202" i="47"/>
  <c r="AL160" i="47"/>
  <c r="AL219" i="47"/>
  <c r="AL185" i="47"/>
  <c r="AL243" i="47"/>
  <c r="AL91" i="47"/>
  <c r="AL43" i="47"/>
  <c r="AL54" i="47"/>
  <c r="AL220" i="47"/>
  <c r="AL112" i="47"/>
  <c r="AL232" i="47"/>
  <c r="AL120" i="47"/>
  <c r="AL274" i="47"/>
  <c r="AL52" i="47"/>
  <c r="AL57" i="47"/>
  <c r="AL189" i="47"/>
  <c r="AL140" i="47"/>
  <c r="AL118" i="47"/>
  <c r="AL270" i="47"/>
  <c r="AL134" i="47"/>
  <c r="AL161" i="47"/>
  <c r="AL250" i="47"/>
  <c r="AL25" i="47"/>
  <c r="AL32" i="47"/>
  <c r="AL279" i="47"/>
  <c r="AL167" i="47"/>
  <c r="AL128" i="47"/>
  <c r="AL200" i="47"/>
  <c r="AL23" i="47"/>
  <c r="AL233" i="47"/>
  <c r="AL59" i="47"/>
  <c r="AL266" i="47"/>
  <c r="AL237" i="47"/>
  <c r="AL181" i="47"/>
  <c r="AL239" i="47"/>
  <c r="AL123" i="47"/>
  <c r="AL145" i="47"/>
  <c r="AL106" i="47"/>
  <c r="AL18" i="47"/>
  <c r="AL97" i="47"/>
  <c r="AL24" i="47"/>
  <c r="AL236" i="47"/>
  <c r="AL124" i="47"/>
  <c r="AL238" i="47"/>
  <c r="AL136" i="47"/>
  <c r="AL42" i="47"/>
  <c r="AL107" i="47"/>
  <c r="AL252" i="47"/>
  <c r="AL30" i="47"/>
  <c r="AL101" i="47"/>
  <c r="AL226" i="47"/>
  <c r="AL75" i="47"/>
  <c r="AL15" i="47"/>
  <c r="AL215" i="47"/>
  <c r="AL235" i="47"/>
  <c r="AL217" i="47"/>
  <c r="AL92" i="47"/>
  <c r="AL64" i="47"/>
  <c r="AL175" i="47"/>
  <c r="AL131" i="47"/>
  <c r="AL241" i="47"/>
  <c r="AL49" i="47"/>
  <c r="AL240" i="47"/>
  <c r="AL257" i="47"/>
  <c r="AL65" i="47"/>
  <c r="AL130" i="47"/>
  <c r="AL216" i="47"/>
  <c r="AL244" i="47"/>
  <c r="AL280" i="47"/>
  <c r="AL261" i="47"/>
  <c r="AL208" i="47"/>
  <c r="AL47" i="47"/>
  <c r="AL152" i="47"/>
  <c r="AL211" i="47"/>
  <c r="AL31" i="47"/>
  <c r="AL35" i="47"/>
  <c r="AL247" i="47"/>
  <c r="AL224" i="47"/>
  <c r="AL249" i="47"/>
  <c r="AL58" i="47"/>
  <c r="AL36" i="47"/>
  <c r="AL195" i="47"/>
  <c r="AL39" i="47"/>
  <c r="AL19" i="47"/>
  <c r="AL114" i="47"/>
  <c r="AL204" i="47"/>
  <c r="AL203" i="47"/>
  <c r="AL188" i="47"/>
  <c r="AL196" i="47"/>
  <c r="AL268" i="47"/>
  <c r="AL182" i="47"/>
  <c r="AL242" i="47"/>
  <c r="AL166" i="47"/>
  <c r="AL159" i="47"/>
  <c r="AL126" i="47"/>
  <c r="AL225" i="47"/>
  <c r="AL16" i="47"/>
  <c r="AL173" i="47"/>
  <c r="AL192" i="47"/>
  <c r="AL142" i="47"/>
  <c r="AL26" i="47"/>
  <c r="AL143" i="47"/>
  <c r="AL184" i="47"/>
  <c r="AL209" i="47"/>
  <c r="AL158" i="47"/>
  <c r="AL69" i="47"/>
  <c r="AL62" i="47"/>
  <c r="AL132" i="47"/>
  <c r="AL171" i="47"/>
  <c r="AL213" i="47"/>
  <c r="AL273" i="47"/>
  <c r="AL157" i="47"/>
  <c r="AL61" i="47"/>
  <c r="AL12" i="47"/>
  <c r="AL272" i="47"/>
  <c r="AL275" i="47"/>
  <c r="AL146" i="47"/>
  <c r="AL99" i="47"/>
  <c r="AL141" i="47"/>
  <c r="AL109" i="47"/>
  <c r="AL110" i="47"/>
  <c r="AL41" i="47"/>
  <c r="AL133" i="47"/>
  <c r="AL259" i="47"/>
  <c r="AL253" i="47"/>
  <c r="AL11" i="47"/>
  <c r="AL230" i="47"/>
  <c r="AL265" i="47"/>
  <c r="AL111" i="47"/>
  <c r="AL50" i="47"/>
  <c r="AL234" i="47"/>
  <c r="AL222" i="47"/>
  <c r="AL139" i="47"/>
  <c r="AL33" i="47"/>
  <c r="AL56" i="47"/>
  <c r="AL78" i="47"/>
  <c r="AL169" i="47"/>
  <c r="AL108" i="47"/>
  <c r="AL117" i="47"/>
  <c r="AL254" i="47"/>
  <c r="AL71" i="47"/>
  <c r="AL77" i="47"/>
  <c r="AL172" i="47"/>
  <c r="AL174" i="47"/>
  <c r="AL162" i="47"/>
  <c r="AL82" i="47"/>
  <c r="AL251" i="47"/>
  <c r="AL258" i="47"/>
  <c r="AL255" i="47"/>
  <c r="AL83" i="47"/>
  <c r="AL93" i="47"/>
  <c r="AL178" i="47"/>
  <c r="AL4" i="47"/>
  <c r="AL194" i="47"/>
  <c r="AL79" i="47"/>
  <c r="AL94" i="47"/>
  <c r="AL154" i="47"/>
  <c r="AL20" i="47"/>
  <c r="AL246" i="47"/>
  <c r="AL104" i="47"/>
  <c r="AL191" i="47"/>
  <c r="AL10" i="47"/>
  <c r="AL95" i="47"/>
  <c r="AL150" i="47"/>
  <c r="AL44" i="47"/>
  <c r="AL22" i="47"/>
  <c r="AL103" i="47"/>
  <c r="AL199" i="47"/>
  <c r="AL127" i="47"/>
  <c r="AL7" i="47"/>
  <c r="AL29" i="47"/>
  <c r="AL45" i="47"/>
  <c r="AL122" i="47"/>
  <c r="AL6" i="47"/>
  <c r="AL8" i="47"/>
  <c r="AL229" i="47"/>
  <c r="AL260" i="47"/>
  <c r="AL198" i="47"/>
  <c r="AL113" i="47"/>
  <c r="AL21" i="47"/>
  <c r="AL231" i="47"/>
  <c r="AL149" i="47"/>
  <c r="AL88" i="47"/>
  <c r="AL115" i="47"/>
  <c r="AL116" i="47"/>
  <c r="AL137" i="47"/>
  <c r="AL170" i="47"/>
  <c r="AL197" i="47"/>
  <c r="AL129" i="47"/>
  <c r="AL9" i="47"/>
  <c r="AL165" i="47"/>
  <c r="AL37" i="47"/>
  <c r="AL38" i="47"/>
  <c r="AL100" i="47"/>
  <c r="AL5" i="47"/>
  <c r="AL102" i="47"/>
  <c r="AL60" i="47"/>
  <c r="AL205" i="47"/>
  <c r="AL164" i="47"/>
  <c r="AL163" i="47"/>
  <c r="AL218" i="47"/>
  <c r="AL84" i="47"/>
  <c r="AL212" i="47"/>
  <c r="AL176" i="47"/>
  <c r="AL138" i="47"/>
  <c r="AL245" i="47"/>
  <c r="AL187" i="47"/>
  <c r="AL214" i="47"/>
  <c r="AL89" i="47"/>
  <c r="AL264" i="47"/>
  <c r="AL271" i="47"/>
  <c r="AL151" i="47"/>
  <c r="AL81" i="47"/>
  <c r="AL55" i="47"/>
  <c r="AL263" i="47"/>
  <c r="AL186" i="47"/>
  <c r="AL67" i="47"/>
  <c r="R235" i="47"/>
  <c r="R259" i="47"/>
  <c r="R121" i="47"/>
  <c r="R263" i="47"/>
  <c r="R89" i="47"/>
  <c r="R105" i="47"/>
  <c r="R92" i="47"/>
  <c r="R185" i="47"/>
  <c r="R175" i="47"/>
  <c r="R20" i="47"/>
  <c r="R100" i="47"/>
  <c r="R42" i="47"/>
  <c r="R267" i="47"/>
  <c r="G9" i="48" a="1"/>
  <c r="G9" i="48" s="1"/>
  <c r="B135" i="42"/>
  <c r="B187" i="42"/>
  <c r="B222" i="42"/>
  <c r="F19" i="42"/>
  <c r="F164" i="42"/>
  <c r="F72" i="42"/>
  <c r="F184" i="42"/>
  <c r="F82" i="42"/>
  <c r="F209" i="42"/>
  <c r="F224" i="42"/>
  <c r="F79" i="42"/>
  <c r="F194" i="42"/>
  <c r="F232" i="42"/>
  <c r="D223" i="42"/>
  <c r="D51" i="42"/>
  <c r="D218" i="42"/>
  <c r="D59" i="42"/>
  <c r="D230" i="42"/>
  <c r="F206" i="42"/>
  <c r="F11" i="42"/>
  <c r="F62" i="42"/>
  <c r="F46" i="42"/>
  <c r="F168" i="42"/>
  <c r="E126" i="36" a="1"/>
  <c r="E126" i="36" s="1"/>
  <c r="E130" i="36" s="1" a="1"/>
  <c r="E130" i="36" s="1"/>
  <c r="D63" i="42"/>
  <c r="D201" i="42"/>
  <c r="D115" i="42"/>
  <c r="D7" i="42"/>
  <c r="D183" i="42"/>
  <c r="D100" i="42"/>
  <c r="D220" i="42"/>
  <c r="D38" i="42"/>
  <c r="D159" i="42"/>
  <c r="D233" i="42"/>
  <c r="D117" i="42"/>
  <c r="D222" i="42"/>
  <c r="D31" i="42"/>
  <c r="D24" i="42"/>
  <c r="D141" i="42"/>
  <c r="F195" i="42"/>
  <c r="F105" i="42"/>
  <c r="F30" i="42"/>
  <c r="F104" i="42"/>
  <c r="F93" i="42"/>
  <c r="F190" i="42"/>
  <c r="F65" i="42"/>
  <c r="F15" i="42"/>
  <c r="F66" i="42"/>
  <c r="F144" i="42"/>
  <c r="F141" i="42"/>
  <c r="F116" i="42"/>
  <c r="F67" i="42"/>
  <c r="F216" i="42"/>
  <c r="F47" i="42"/>
  <c r="D43" i="42"/>
  <c r="D205" i="42"/>
  <c r="D65" i="42"/>
  <c r="D184" i="42"/>
  <c r="D14" i="42"/>
  <c r="D203" i="42"/>
  <c r="F140" i="42"/>
  <c r="F234" i="42"/>
  <c r="F152" i="42"/>
  <c r="F202" i="42"/>
  <c r="F131" i="42"/>
  <c r="D148" i="42"/>
  <c r="D211" i="42"/>
  <c r="D45" i="42"/>
  <c r="D179" i="42"/>
  <c r="D76" i="42"/>
  <c r="D136" i="42"/>
  <c r="D92" i="42"/>
  <c r="D209" i="42"/>
  <c r="D167" i="42"/>
  <c r="D80" i="42"/>
  <c r="D97" i="42"/>
  <c r="D124" i="42"/>
  <c r="D49" i="42"/>
  <c r="D196" i="42"/>
  <c r="D12" i="42"/>
  <c r="D126" i="42"/>
  <c r="D161" i="42"/>
  <c r="V87" i="43"/>
  <c r="V58" i="43"/>
  <c r="V38" i="43"/>
  <c r="V90" i="43"/>
  <c r="V221" i="43"/>
  <c r="V48" i="43"/>
  <c r="V225" i="43"/>
  <c r="V31" i="43"/>
  <c r="V129" i="43"/>
  <c r="V23" i="43"/>
  <c r="V219" i="43"/>
  <c r="V212" i="43"/>
  <c r="V29" i="43"/>
  <c r="V139" i="43"/>
  <c r="V132" i="43"/>
  <c r="V116" i="43"/>
  <c r="V49" i="43"/>
  <c r="V52" i="43"/>
  <c r="V91" i="43"/>
  <c r="V41" i="43"/>
  <c r="V228" i="43"/>
  <c r="V171" i="43"/>
  <c r="V27" i="43"/>
  <c r="V173" i="43"/>
  <c r="V22" i="43"/>
  <c r="V233" i="43"/>
  <c r="V126" i="43"/>
  <c r="V184" i="43"/>
  <c r="V119" i="43"/>
  <c r="V5" i="43"/>
  <c r="V236" i="43"/>
  <c r="V144" i="43"/>
  <c r="V95" i="43"/>
  <c r="V127" i="43"/>
  <c r="V183" i="43"/>
  <c r="V20" i="43"/>
  <c r="V83" i="43"/>
  <c r="V174" i="43"/>
  <c r="V12" i="43"/>
  <c r="V232" i="43"/>
  <c r="V109" i="43"/>
  <c r="V110" i="43"/>
  <c r="V43" i="43"/>
  <c r="V217" i="43"/>
  <c r="V74" i="43"/>
  <c r="V199" i="43"/>
  <c r="V102" i="43"/>
  <c r="V75" i="43"/>
  <c r="V196" i="43"/>
  <c r="V101" i="43"/>
  <c r="V197" i="43"/>
  <c r="V185" i="43"/>
  <c r="V215" i="43"/>
  <c r="V202" i="43"/>
  <c r="V161" i="43"/>
  <c r="V28" i="43"/>
  <c r="V122" i="43"/>
  <c r="V46" i="43"/>
  <c r="V181" i="43"/>
  <c r="V8" i="43"/>
  <c r="V213" i="43"/>
  <c r="V104" i="43"/>
  <c r="V201" i="43"/>
  <c r="V82" i="43"/>
  <c r="V37" i="43"/>
  <c r="V178" i="43"/>
  <c r="V195" i="43"/>
  <c r="V86" i="43"/>
  <c r="V176" i="43"/>
  <c r="V209" i="43"/>
  <c r="V234" i="43"/>
  <c r="V79" i="43"/>
  <c r="V169" i="43"/>
  <c r="V14" i="43"/>
  <c r="V100" i="43"/>
  <c r="V56" i="43"/>
  <c r="V159" i="43"/>
  <c r="V77" i="43"/>
  <c r="V223" i="43"/>
  <c r="V117" i="43"/>
  <c r="V59" i="43"/>
  <c r="V96" i="43"/>
  <c r="V62" i="43"/>
  <c r="V220" i="43"/>
  <c r="V193" i="43"/>
  <c r="V76" i="43"/>
  <c r="V32" i="43"/>
  <c r="V9" i="43"/>
  <c r="V108" i="43"/>
  <c r="V25" i="43"/>
  <c r="V231" i="43"/>
  <c r="V94" i="43"/>
  <c r="V150" i="43"/>
  <c r="V191" i="43"/>
  <c r="V208" i="43"/>
  <c r="V172" i="43"/>
  <c r="V128" i="43"/>
  <c r="V206" i="43"/>
  <c r="V163" i="43"/>
  <c r="V156" i="43"/>
  <c r="V54" i="43"/>
  <c r="V66" i="43"/>
  <c r="V133" i="43"/>
  <c r="V114" i="43"/>
  <c r="V88" i="43"/>
  <c r="V207" i="43"/>
  <c r="V15" i="43"/>
  <c r="V45" i="43"/>
  <c r="V211" i="43"/>
  <c r="V136" i="43"/>
  <c r="V226" i="43"/>
  <c r="V61" i="43"/>
  <c r="V229" i="43"/>
  <c r="V235" i="43"/>
  <c r="V130" i="43"/>
  <c r="V73" i="43"/>
  <c r="V222" i="43"/>
  <c r="V24" i="43"/>
  <c r="V142" i="43"/>
  <c r="V200" i="43"/>
  <c r="V151" i="43"/>
  <c r="V17" i="43"/>
  <c r="V189" i="43"/>
  <c r="V111" i="43"/>
  <c r="V44" i="43"/>
  <c r="V210" i="43"/>
  <c r="V60" i="43"/>
  <c r="V194" i="43"/>
  <c r="V134" i="43"/>
  <c r="V237" i="43"/>
  <c r="V71" i="43"/>
  <c r="V68" i="43"/>
  <c r="V141" i="43"/>
  <c r="V135" i="43"/>
  <c r="V70" i="43"/>
  <c r="V167" i="43"/>
  <c r="V165" i="43"/>
  <c r="V63" i="43"/>
  <c r="V10" i="43"/>
  <c r="V214" i="43"/>
  <c r="V18" i="43"/>
  <c r="V188" i="43"/>
  <c r="V175" i="43"/>
  <c r="V13" i="43"/>
  <c r="V160" i="43"/>
  <c r="V124" i="43"/>
  <c r="V154" i="43"/>
  <c r="V99" i="43"/>
  <c r="V143" i="43"/>
  <c r="V157" i="43"/>
  <c r="V21" i="43"/>
  <c r="V103" i="43"/>
  <c r="V137" i="43"/>
  <c r="V36" i="43"/>
  <c r="V146" i="43"/>
  <c r="V177" i="43"/>
  <c r="V19" i="43"/>
  <c r="V107" i="43"/>
  <c r="V230" i="43"/>
  <c r="V216" i="43"/>
  <c r="V47" i="43"/>
  <c r="V106" i="43"/>
  <c r="V148" i="43"/>
  <c r="V80" i="43"/>
  <c r="V187" i="43"/>
  <c r="V152" i="43"/>
  <c r="V42" i="43"/>
  <c r="V34" i="43"/>
  <c r="V125" i="43"/>
  <c r="V113" i="43"/>
  <c r="V16" i="43"/>
  <c r="V118" i="43"/>
  <c r="V198" i="43"/>
  <c r="V35" i="43"/>
  <c r="V121" i="43"/>
  <c r="V240" i="43"/>
  <c r="V145" i="43"/>
  <c r="V4" i="43"/>
  <c r="V105" i="43"/>
  <c r="V33" i="43"/>
  <c r="V182" i="43"/>
  <c r="V164" i="43"/>
  <c r="V138" i="43"/>
  <c r="V11" i="43"/>
  <c r="V239" i="43"/>
  <c r="V26" i="43"/>
  <c r="V190" i="43"/>
  <c r="V84" i="43"/>
  <c r="V192" i="43"/>
  <c r="V238" i="43"/>
  <c r="V53" i="43"/>
  <c r="V168" i="43"/>
  <c r="V6" i="43"/>
  <c r="V97" i="43"/>
  <c r="V67" i="43"/>
  <c r="V93" i="43"/>
  <c r="V204" i="43"/>
  <c r="V131" i="43"/>
  <c r="V89" i="43"/>
  <c r="V179" i="43"/>
  <c r="V162" i="43"/>
  <c r="V51" i="43"/>
  <c r="V147" i="43"/>
  <c r="V149" i="43"/>
  <c r="V140" i="43"/>
  <c r="V120" i="43"/>
  <c r="V55" i="43"/>
  <c r="V7" i="43"/>
  <c r="V112" i="43"/>
  <c r="V205" i="43"/>
  <c r="V186" i="43"/>
  <c r="V224" i="43"/>
  <c r="V65" i="43"/>
  <c r="V153" i="43"/>
  <c r="V180" i="43"/>
  <c r="V166" i="43"/>
  <c r="V69" i="43"/>
  <c r="V92" i="43"/>
  <c r="V158" i="43"/>
  <c r="V39" i="43"/>
  <c r="V227" i="43"/>
  <c r="V40" i="43"/>
  <c r="V30" i="43"/>
  <c r="V78" i="43"/>
  <c r="V115" i="43"/>
  <c r="V50" i="43"/>
  <c r="V72" i="43"/>
  <c r="V81" i="43"/>
  <c r="V155" i="43"/>
  <c r="V170" i="43"/>
  <c r="V98" i="43"/>
  <c r="V218" i="43"/>
  <c r="V85" i="43"/>
  <c r="V123" i="43"/>
  <c r="V64" i="43"/>
  <c r="V203" i="43"/>
  <c r="V57" i="43"/>
  <c r="D5" i="42"/>
  <c r="F4" i="42"/>
  <c r="F95" i="42"/>
  <c r="F181" i="42"/>
  <c r="F23" i="42"/>
  <c r="F211" i="42"/>
  <c r="F111" i="42"/>
  <c r="F92" i="42"/>
  <c r="F219" i="42"/>
  <c r="F222" i="42"/>
  <c r="F115" i="42"/>
  <c r="F118" i="42"/>
  <c r="F39" i="42"/>
  <c r="F59" i="42"/>
  <c r="F161" i="42"/>
  <c r="F179" i="42"/>
  <c r="D174" i="42"/>
  <c r="D48" i="42"/>
  <c r="D135" i="42"/>
  <c r="D113" i="42"/>
  <c r="D144" i="42"/>
  <c r="D137" i="42"/>
  <c r="F169" i="42"/>
  <c r="F240" i="42"/>
  <c r="F20" i="42"/>
  <c r="F98" i="42"/>
  <c r="F121" i="42"/>
  <c r="F236" i="42"/>
  <c r="G129" i="32" a="1"/>
  <c r="G129" i="32" s="1"/>
  <c r="D10" i="42"/>
  <c r="D202" i="42"/>
  <c r="D114" i="42"/>
  <c r="D228" i="42"/>
  <c r="D160" i="42"/>
  <c r="D182" i="42"/>
  <c r="D41" i="42"/>
  <c r="D27" i="42"/>
  <c r="D29" i="42"/>
  <c r="D52" i="42"/>
  <c r="D36" i="42"/>
  <c r="D235" i="42"/>
  <c r="D181" i="42"/>
  <c r="D93" i="42"/>
  <c r="D134" i="42"/>
  <c r="D40" i="42"/>
  <c r="D22" i="42"/>
  <c r="D20" i="42"/>
  <c r="S2" i="49"/>
  <c r="S13" i="49" s="1"/>
  <c r="F212" i="42"/>
  <c r="F56" i="42"/>
  <c r="F159" i="42"/>
  <c r="F170" i="42"/>
  <c r="F16" i="42"/>
  <c r="F160" i="42"/>
  <c r="F110" i="42"/>
  <c r="F220" i="42"/>
  <c r="F229" i="42"/>
  <c r="F57" i="42"/>
  <c r="F142" i="42"/>
  <c r="F53" i="42"/>
  <c r="F10" i="42"/>
  <c r="F156" i="42"/>
  <c r="F215" i="42"/>
  <c r="D55" i="42"/>
  <c r="D168" i="42"/>
  <c r="D81" i="42"/>
  <c r="D120" i="42"/>
  <c r="D90" i="42"/>
  <c r="D169" i="42"/>
  <c r="F165" i="42"/>
  <c r="F89" i="42"/>
  <c r="F177" i="42"/>
  <c r="F162" i="42"/>
  <c r="F150" i="42"/>
  <c r="F122" i="42"/>
  <c r="E129" i="32" a="1"/>
  <c r="E129" i="32" s="1"/>
  <c r="E135" i="32" s="1"/>
  <c r="E137" i="32" s="1"/>
  <c r="D60" i="42"/>
  <c r="D16" i="42"/>
  <c r="D216" i="42"/>
  <c r="D166" i="42"/>
  <c r="D210" i="42"/>
  <c r="D77" i="42"/>
  <c r="D180" i="42"/>
  <c r="D66" i="42"/>
  <c r="D79" i="42"/>
  <c r="D177" i="42"/>
  <c r="D13" i="42"/>
  <c r="D217" i="42"/>
  <c r="D91" i="42"/>
  <c r="D106" i="42"/>
  <c r="D67" i="42"/>
  <c r="D206" i="42"/>
  <c r="D54" i="42"/>
  <c r="D173" i="42"/>
  <c r="F6" i="42"/>
  <c r="D6" i="42"/>
  <c r="C2" i="49"/>
  <c r="C112" i="49" s="1"/>
  <c r="F201" i="42"/>
  <c r="F217" i="42"/>
  <c r="F126" i="42"/>
  <c r="F187" i="42"/>
  <c r="F149" i="42"/>
  <c r="F42" i="42"/>
  <c r="F76" i="42"/>
  <c r="F109" i="42"/>
  <c r="F49" i="42"/>
  <c r="F101" i="42"/>
  <c r="F68" i="42"/>
  <c r="F148" i="42"/>
  <c r="F182" i="42"/>
  <c r="F174" i="42"/>
  <c r="D125" i="42"/>
  <c r="D88" i="42"/>
  <c r="D234" i="42"/>
  <c r="D84" i="42"/>
  <c r="D30" i="42"/>
  <c r="D227" i="42"/>
  <c r="F163" i="42"/>
  <c r="F139" i="42"/>
  <c r="F38" i="42"/>
  <c r="F113" i="42"/>
  <c r="F223" i="42"/>
  <c r="E9" i="48" a="1"/>
  <c r="E9" i="48" s="1"/>
  <c r="D232" i="42"/>
  <c r="D99" i="42"/>
  <c r="D145" i="42"/>
  <c r="D102" i="42"/>
  <c r="D37" i="42"/>
  <c r="D190" i="42"/>
  <c r="D105" i="42"/>
  <c r="D121" i="42"/>
  <c r="D146" i="42"/>
  <c r="D69" i="42"/>
  <c r="D204" i="42"/>
  <c r="D208" i="42"/>
  <c r="D147" i="42"/>
  <c r="D224" i="42"/>
  <c r="D109" i="42"/>
  <c r="D215" i="42"/>
  <c r="D157" i="42"/>
  <c r="F151" i="42"/>
  <c r="F33" i="42"/>
  <c r="F75" i="42"/>
  <c r="F205" i="42"/>
  <c r="F112" i="42"/>
  <c r="F239" i="42"/>
  <c r="F214" i="42"/>
  <c r="F60" i="42"/>
  <c r="F166" i="42"/>
  <c r="F167" i="42"/>
  <c r="D71" i="42"/>
  <c r="D44" i="42"/>
  <c r="D239" i="42"/>
  <c r="AC2" i="42"/>
  <c r="F158" i="42"/>
  <c r="F18" i="42"/>
  <c r="F114" i="42"/>
  <c r="F31" i="42"/>
  <c r="F102" i="42"/>
  <c r="D214" i="42"/>
  <c r="D193" i="42"/>
  <c r="D57" i="42"/>
  <c r="D35" i="42"/>
  <c r="D87" i="42"/>
  <c r="D86" i="42"/>
  <c r="D56" i="42"/>
  <c r="D149" i="42"/>
  <c r="D199" i="42"/>
  <c r="D189" i="42"/>
  <c r="D142" i="42"/>
  <c r="D156" i="42"/>
  <c r="D17" i="42"/>
  <c r="D153" i="42"/>
  <c r="D42" i="42"/>
  <c r="D172" i="42"/>
  <c r="D185" i="42"/>
  <c r="AY2" i="49"/>
  <c r="AY4" i="49" s="1"/>
  <c r="F137" i="42"/>
  <c r="F87" i="42"/>
  <c r="F207" i="42"/>
  <c r="F208" i="42"/>
  <c r="F26" i="42"/>
  <c r="F123" i="42"/>
  <c r="F172" i="42"/>
  <c r="F203" i="42"/>
  <c r="F24" i="42"/>
  <c r="F198" i="42"/>
  <c r="F157" i="42"/>
  <c r="F231" i="42"/>
  <c r="F221" i="42"/>
  <c r="D225" i="42"/>
  <c r="D195" i="42"/>
  <c r="D26" i="42"/>
  <c r="D226" i="42"/>
  <c r="D34" i="42"/>
  <c r="D238" i="42"/>
  <c r="F9" i="42"/>
  <c r="F138" i="42"/>
  <c r="F127" i="42"/>
  <c r="F36" i="42"/>
  <c r="F126" i="36" a="1"/>
  <c r="F126" i="36" s="1"/>
  <c r="F130" i="36" s="1" a="1"/>
  <c r="F130" i="36" s="1"/>
  <c r="D231" i="42"/>
  <c r="D89" i="42"/>
  <c r="D187" i="42"/>
  <c r="D74" i="42"/>
  <c r="D128" i="42"/>
  <c r="D200" i="42"/>
  <c r="D33" i="42"/>
  <c r="D64" i="42"/>
  <c r="D15" i="42"/>
  <c r="D116" i="42"/>
  <c r="D75" i="42"/>
  <c r="D191" i="42"/>
  <c r="D155" i="42"/>
  <c r="D70" i="42"/>
  <c r="D152" i="42"/>
  <c r="D57" i="49"/>
  <c r="D83" i="49"/>
  <c r="D52" i="49"/>
  <c r="D41" i="49"/>
  <c r="D110" i="49"/>
  <c r="D49" i="49"/>
  <c r="D71" i="49"/>
  <c r="D119" i="49"/>
  <c r="D28" i="49"/>
  <c r="D70" i="49"/>
  <c r="D100" i="49"/>
  <c r="D99" i="49"/>
  <c r="D11" i="49"/>
  <c r="D73" i="49"/>
  <c r="D8" i="49"/>
  <c r="D95" i="49"/>
  <c r="D105" i="49"/>
  <c r="D78" i="49"/>
  <c r="D17" i="49"/>
  <c r="D39" i="49"/>
  <c r="D87" i="49"/>
  <c r="D101" i="49"/>
  <c r="D12" i="49"/>
  <c r="D54" i="49"/>
  <c r="D112" i="49"/>
  <c r="D109" i="49"/>
  <c r="D118" i="49"/>
  <c r="D25" i="49"/>
  <c r="D92" i="49"/>
  <c r="D61" i="49"/>
  <c r="D20" i="49"/>
  <c r="D15" i="49"/>
  <c r="D120" i="49"/>
  <c r="D55" i="49"/>
  <c r="D69" i="49"/>
  <c r="D85" i="49"/>
  <c r="D22" i="49"/>
  <c r="D38" i="49"/>
  <c r="D68" i="49"/>
  <c r="D29" i="49"/>
  <c r="D90" i="49"/>
  <c r="D108" i="49"/>
  <c r="D56" i="49"/>
  <c r="D7" i="49"/>
  <c r="D82" i="49"/>
  <c r="D46" i="49"/>
  <c r="D23" i="49"/>
  <c r="D37" i="49"/>
  <c r="D53" i="49"/>
  <c r="D107" i="49"/>
  <c r="D123" i="49"/>
  <c r="D36" i="49"/>
  <c r="D80" i="49"/>
  <c r="D94" i="49"/>
  <c r="D67" i="49"/>
  <c r="D98" i="49"/>
  <c r="D14" i="49"/>
  <c r="D51" i="49"/>
  <c r="D111" i="49"/>
  <c r="D10" i="49"/>
  <c r="D121" i="49"/>
  <c r="D43" i="49"/>
  <c r="D89" i="49"/>
  <c r="D115" i="49"/>
  <c r="D42" i="49"/>
  <c r="D32" i="49"/>
  <c r="D116" i="49"/>
  <c r="D47" i="49"/>
  <c r="D65" i="49"/>
  <c r="D34" i="49"/>
  <c r="D60" i="49"/>
  <c r="D122" i="49"/>
  <c r="D24" i="49"/>
  <c r="D31" i="49"/>
  <c r="D66" i="49"/>
  <c r="D27" i="49"/>
  <c r="D77" i="49"/>
  <c r="D48" i="49"/>
  <c r="D103" i="49"/>
  <c r="D124" i="49"/>
  <c r="D96" i="49"/>
  <c r="D88" i="49"/>
  <c r="D26" i="49"/>
  <c r="D74" i="49"/>
  <c r="D64" i="49"/>
  <c r="D76" i="49"/>
  <c r="D72" i="49"/>
  <c r="D114" i="49"/>
  <c r="D91" i="49"/>
  <c r="D33" i="49"/>
  <c r="D117" i="49"/>
  <c r="D13" i="49"/>
  <c r="D63" i="49"/>
  <c r="D45" i="49"/>
  <c r="D16" i="49"/>
  <c r="D62" i="49"/>
  <c r="D44" i="49"/>
  <c r="D102" i="49"/>
  <c r="D21" i="49"/>
  <c r="D84" i="49"/>
  <c r="D58" i="49"/>
  <c r="D97" i="49"/>
  <c r="D19" i="49"/>
  <c r="D59" i="49"/>
  <c r="D113" i="49"/>
  <c r="D81" i="49"/>
  <c r="D18" i="49"/>
  <c r="D9" i="49"/>
  <c r="D125" i="49"/>
  <c r="D30" i="49"/>
  <c r="D106" i="49"/>
  <c r="D86" i="49"/>
  <c r="D40" i="49"/>
  <c r="D79" i="49"/>
  <c r="D35" i="49"/>
  <c r="D93" i="49"/>
  <c r="D50" i="49"/>
  <c r="D104" i="49"/>
  <c r="D75" i="49"/>
  <c r="B6" i="43"/>
  <c r="D75" i="43"/>
  <c r="D107" i="43"/>
  <c r="D61" i="43"/>
  <c r="D193" i="43"/>
  <c r="D37" i="43"/>
  <c r="D125" i="43"/>
  <c r="D9" i="43"/>
  <c r="D100" i="43"/>
  <c r="D68" i="43"/>
  <c r="D162" i="43"/>
  <c r="D206" i="43"/>
  <c r="D219" i="43"/>
  <c r="D176" i="43"/>
  <c r="D20" i="43"/>
  <c r="D205" i="43"/>
  <c r="D95" i="43"/>
  <c r="D40" i="43"/>
  <c r="D188" i="43"/>
  <c r="D46" i="43"/>
  <c r="D88" i="43"/>
  <c r="D108" i="43"/>
  <c r="B44" i="42"/>
  <c r="B80" i="42"/>
  <c r="B39" i="42"/>
  <c r="B229" i="42"/>
  <c r="B84" i="42"/>
  <c r="D94" i="42"/>
  <c r="D212" i="42"/>
  <c r="D28" i="42"/>
  <c r="D186" i="42"/>
  <c r="D170" i="42"/>
  <c r="D107" i="42"/>
  <c r="D111" i="42"/>
  <c r="D236" i="42"/>
  <c r="D127" i="42"/>
  <c r="D72" i="42"/>
  <c r="D47" i="42"/>
  <c r="D62" i="42"/>
  <c r="D131" i="42"/>
  <c r="D23" i="42"/>
  <c r="D198" i="42"/>
  <c r="D108" i="42"/>
  <c r="D132" i="42"/>
  <c r="D176" i="42"/>
  <c r="D46" i="42"/>
  <c r="D85" i="42"/>
  <c r="D122" i="42"/>
  <c r="D151" i="42"/>
  <c r="D139" i="42"/>
  <c r="D58" i="42"/>
  <c r="D25" i="42"/>
  <c r="D129" i="42"/>
  <c r="D123" i="42"/>
  <c r="D229" i="42"/>
  <c r="D8" i="42"/>
  <c r="D82" i="42"/>
  <c r="D95" i="42"/>
  <c r="D140" i="42"/>
  <c r="D143" i="42"/>
  <c r="D192" i="42"/>
  <c r="D11" i="42"/>
  <c r="D19" i="42"/>
  <c r="D171" i="42"/>
  <c r="D119" i="42"/>
  <c r="D219" i="42"/>
  <c r="D21" i="42"/>
  <c r="D83" i="42"/>
  <c r="D197" i="42"/>
  <c r="D130" i="42"/>
  <c r="D164" i="42"/>
  <c r="D98" i="42"/>
  <c r="D110" i="42"/>
  <c r="D154" i="42"/>
  <c r="D178" i="42"/>
  <c r="D221" i="42"/>
  <c r="D73" i="42"/>
  <c r="D150" i="42"/>
  <c r="D163" i="42"/>
  <c r="D61" i="42"/>
  <c r="D240" i="42"/>
  <c r="D138" i="42"/>
  <c r="AI2" i="49"/>
  <c r="T12" i="50"/>
  <c r="F218" i="42"/>
  <c r="F197" i="42"/>
  <c r="F196" i="42"/>
  <c r="F97" i="42"/>
  <c r="F124" i="42"/>
  <c r="F35" i="42"/>
  <c r="F48" i="42"/>
  <c r="F134" i="42"/>
  <c r="F145" i="42"/>
  <c r="F7" i="42"/>
  <c r="F40" i="42"/>
  <c r="F106" i="42"/>
  <c r="F199" i="42"/>
  <c r="F41" i="42"/>
  <c r="F132" i="42"/>
  <c r="F120" i="42"/>
  <c r="F136" i="42"/>
  <c r="F171" i="42"/>
  <c r="F58" i="42"/>
  <c r="F155" i="42"/>
  <c r="F176" i="42"/>
  <c r="F180" i="42"/>
  <c r="F86" i="42"/>
  <c r="F80" i="42"/>
  <c r="F153" i="42"/>
  <c r="F173" i="42"/>
  <c r="F117" i="42"/>
  <c r="F230" i="42"/>
  <c r="F81" i="42"/>
  <c r="F43" i="42"/>
  <c r="F238" i="42"/>
  <c r="F91" i="42"/>
  <c r="F34" i="42"/>
  <c r="F147" i="42"/>
  <c r="F64" i="42"/>
  <c r="F103" i="42"/>
  <c r="F100" i="42"/>
  <c r="F74" i="42"/>
  <c r="F77" i="42"/>
  <c r="F135" i="42"/>
  <c r="F27" i="42"/>
  <c r="F146" i="42"/>
  <c r="F186" i="42"/>
  <c r="F129" i="42"/>
  <c r="F44" i="42"/>
  <c r="F13" i="42"/>
  <c r="F71" i="42"/>
  <c r="F128" i="42"/>
  <c r="F32" i="42"/>
  <c r="F227" i="42"/>
  <c r="F78" i="42"/>
  <c r="F51" i="42"/>
  <c r="F185" i="42"/>
  <c r="AE2" i="42"/>
  <c r="F99" i="42"/>
  <c r="F192" i="42"/>
  <c r="F154" i="42"/>
  <c r="F213" i="42"/>
  <c r="F183" i="42"/>
  <c r="F143" i="42"/>
  <c r="F188" i="42"/>
  <c r="F84" i="42"/>
  <c r="F63" i="42"/>
  <c r="F70" i="42"/>
  <c r="F226" i="42"/>
  <c r="F54" i="42"/>
  <c r="F119" i="42"/>
  <c r="F193" i="42"/>
  <c r="F107" i="42"/>
  <c r="F73" i="42"/>
  <c r="F85" i="42"/>
  <c r="F125" i="42"/>
  <c r="F69" i="42"/>
  <c r="F55" i="42"/>
  <c r="F233" i="42"/>
  <c r="F50" i="42"/>
  <c r="F12" i="42"/>
  <c r="F21" i="42"/>
  <c r="F210" i="42"/>
  <c r="F237" i="42"/>
  <c r="F90" i="42"/>
  <c r="F94" i="42"/>
  <c r="D83" i="43"/>
  <c r="D64" i="43"/>
  <c r="D11" i="43"/>
  <c r="D123" i="43"/>
  <c r="D52" i="43"/>
  <c r="D218" i="43"/>
  <c r="D8" i="43"/>
  <c r="D127" i="43"/>
  <c r="D126" i="43"/>
  <c r="D216" i="43"/>
  <c r="D156" i="43"/>
  <c r="D180" i="43"/>
  <c r="AR2" i="43"/>
  <c r="D57" i="43"/>
  <c r="D78" i="43"/>
  <c r="D38" i="43"/>
  <c r="D167" i="43"/>
  <c r="D232" i="43"/>
  <c r="D192" i="43"/>
  <c r="D153" i="43"/>
  <c r="B213" i="42"/>
  <c r="B107" i="42"/>
  <c r="B144" i="42"/>
  <c r="B120" i="42"/>
  <c r="B188" i="42"/>
  <c r="B95" i="42"/>
  <c r="F6" i="48" a="1"/>
  <c r="F6" i="48" s="1"/>
  <c r="G6" i="48" a="1"/>
  <c r="G6" i="48" s="1"/>
  <c r="E6" i="48" a="1"/>
  <c r="E6" i="48" s="1"/>
  <c r="G128" i="36" a="1"/>
  <c r="G128" i="36" s="1"/>
  <c r="E128" i="36" a="1"/>
  <c r="E128" i="36" s="1"/>
  <c r="F128" i="36" a="1"/>
  <c r="F128" i="36" s="1"/>
  <c r="B32" i="42"/>
  <c r="S2" i="43"/>
  <c r="C2" i="43"/>
  <c r="C3" i="43" s="1"/>
  <c r="B3" i="43"/>
  <c r="B53" i="42"/>
  <c r="C2" i="47"/>
  <c r="C3" i="47" s="1"/>
  <c r="AI2" i="47"/>
  <c r="S2" i="47"/>
  <c r="BI2" i="47"/>
  <c r="D99" i="43"/>
  <c r="D69" i="43"/>
  <c r="D151" i="43"/>
  <c r="D47" i="43"/>
  <c r="D39" i="43"/>
  <c r="D228" i="43"/>
  <c r="D168" i="43"/>
  <c r="D80" i="43"/>
  <c r="D208" i="43"/>
  <c r="D240" i="43"/>
  <c r="D189" i="43"/>
  <c r="D23" i="43"/>
  <c r="D233" i="43"/>
  <c r="D200" i="43"/>
  <c r="D19" i="43"/>
  <c r="D93" i="43"/>
  <c r="D67" i="43"/>
  <c r="D230" i="43"/>
  <c r="D65" i="43"/>
  <c r="D147" i="43"/>
  <c r="D171" i="43"/>
  <c r="D238" i="43"/>
  <c r="D72" i="43"/>
  <c r="D210" i="43"/>
  <c r="D102" i="43"/>
  <c r="D213" i="43"/>
  <c r="D97" i="43"/>
  <c r="D143" i="43"/>
  <c r="D12" i="43"/>
  <c r="D165" i="43"/>
  <c r="D197" i="43"/>
  <c r="D13" i="43"/>
  <c r="D196" i="43"/>
  <c r="D70" i="43"/>
  <c r="D81" i="43"/>
  <c r="D225" i="43"/>
  <c r="D157" i="43"/>
  <c r="D85" i="43"/>
  <c r="D170" i="43"/>
  <c r="D31" i="43"/>
  <c r="D220" i="43"/>
  <c r="D34" i="43"/>
  <c r="D179" i="43"/>
  <c r="D24" i="43"/>
  <c r="D154" i="43"/>
  <c r="D74" i="43"/>
  <c r="D112" i="43"/>
  <c r="D184" i="43"/>
  <c r="D26" i="43"/>
  <c r="D138" i="43"/>
  <c r="D132" i="43"/>
  <c r="D155" i="43"/>
  <c r="D103" i="43"/>
  <c r="D164" i="43"/>
  <c r="D209" i="43"/>
  <c r="D212" i="43"/>
  <c r="D119" i="43"/>
  <c r="D148" i="43"/>
  <c r="D190" i="43"/>
  <c r="B124" i="42"/>
  <c r="B82" i="42"/>
  <c r="B142" i="42"/>
  <c r="B112" i="42"/>
  <c r="B12" i="42"/>
  <c r="B220" i="42"/>
  <c r="B180" i="42"/>
  <c r="B97" i="42"/>
  <c r="B46" i="42"/>
  <c r="B30" i="42"/>
  <c r="B8" i="42"/>
  <c r="B48" i="42"/>
  <c r="B58" i="42"/>
  <c r="B56" i="42"/>
  <c r="B184" i="42"/>
  <c r="B209" i="42"/>
  <c r="B174" i="42"/>
  <c r="B25" i="42"/>
  <c r="B195" i="42"/>
  <c r="B145" i="42"/>
  <c r="B168" i="42"/>
  <c r="B218" i="42"/>
  <c r="B149" i="42"/>
  <c r="B181" i="42"/>
  <c r="B87" i="42"/>
  <c r="B234" i="42"/>
  <c r="B66" i="42"/>
  <c r="B204" i="42"/>
  <c r="B118" i="42"/>
  <c r="B68" i="42"/>
  <c r="B81" i="42"/>
  <c r="B137" i="42"/>
  <c r="B70" i="42"/>
  <c r="B154" i="42"/>
  <c r="B104" i="42"/>
  <c r="B54" i="42"/>
  <c r="B83" i="42"/>
  <c r="B17" i="42"/>
  <c r="B161" i="42"/>
  <c r="B103" i="42"/>
  <c r="B162" i="42"/>
  <c r="B179" i="42"/>
  <c r="B197" i="42"/>
  <c r="B40" i="42"/>
  <c r="B146" i="42"/>
  <c r="B19" i="42"/>
  <c r="B37" i="42"/>
  <c r="B109" i="42"/>
  <c r="B178" i="42"/>
  <c r="B193" i="42"/>
  <c r="B214" i="42"/>
  <c r="B31" i="42"/>
  <c r="B240" i="42"/>
  <c r="B45" i="42"/>
  <c r="B171" i="42"/>
  <c r="B93" i="42"/>
  <c r="B114" i="42"/>
  <c r="B227" i="42"/>
  <c r="B76" i="42"/>
  <c r="B20" i="42"/>
  <c r="B79" i="42"/>
  <c r="B29" i="42"/>
  <c r="B50" i="42"/>
  <c r="B167" i="42"/>
  <c r="B150" i="42"/>
  <c r="B89" i="42"/>
  <c r="B230" i="42"/>
  <c r="B15" i="42"/>
  <c r="B232" i="42"/>
  <c r="B175" i="42"/>
  <c r="F9" i="46" a="1"/>
  <c r="F9" i="46" s="1"/>
  <c r="G9" i="46" a="1"/>
  <c r="G9" i="46" s="1"/>
  <c r="E9" i="46" a="1"/>
  <c r="E9" i="46" s="1"/>
  <c r="E129" i="34" a="1"/>
  <c r="E129" i="34" s="1"/>
  <c r="G129" i="34" a="1"/>
  <c r="G129" i="34" s="1"/>
  <c r="H129" i="34" s="1"/>
  <c r="E8" i="45" a="1"/>
  <c r="E8" i="45" s="1"/>
  <c r="F8" i="45" a="1"/>
  <c r="F8" i="45" s="1"/>
  <c r="G8" i="45" a="1"/>
  <c r="G8" i="45" s="1"/>
  <c r="E127" i="30" a="1"/>
  <c r="E127" i="30" s="1"/>
  <c r="F127" i="30" a="1"/>
  <c r="F127" i="30" s="1"/>
  <c r="G127" i="30" a="1"/>
  <c r="G127" i="30" s="1"/>
  <c r="B4" i="43"/>
  <c r="G5" i="46" a="1"/>
  <c r="G5" i="46" s="1"/>
  <c r="G11" i="46" s="1"/>
  <c r="G13" i="46" s="1"/>
  <c r="E5" i="46" a="1"/>
  <c r="E5" i="46" s="1"/>
  <c r="E11" i="46" s="1"/>
  <c r="E13" i="46" s="1"/>
  <c r="F5" i="46" a="1"/>
  <c r="F5" i="46" s="1"/>
  <c r="F11" i="46" s="1"/>
  <c r="F13" i="46" s="1"/>
  <c r="E130" i="30" a="1"/>
  <c r="E130" i="30" s="1"/>
  <c r="F138" i="30" s="1"/>
  <c r="E114" i="28" a="1"/>
  <c r="E114" i="28" s="1"/>
  <c r="F122" i="28" s="1"/>
  <c r="F135" i="32"/>
  <c r="F137" i="32" s="1"/>
  <c r="R191" i="47"/>
  <c r="R275" i="47"/>
  <c r="R207" i="47"/>
  <c r="R147" i="47"/>
  <c r="R30" i="47"/>
  <c r="R54" i="47"/>
  <c r="R158" i="47"/>
  <c r="R190" i="47"/>
  <c r="R206" i="47"/>
  <c r="R229" i="47"/>
  <c r="R24" i="47"/>
  <c r="R48" i="47"/>
  <c r="R8" i="47"/>
  <c r="R107" i="47"/>
  <c r="R153" i="47"/>
  <c r="R278" i="47"/>
  <c r="R63" i="47"/>
  <c r="R65" i="47"/>
  <c r="R73" i="47"/>
  <c r="R97" i="47"/>
  <c r="R241" i="47"/>
  <c r="R265" i="47"/>
  <c r="R181" i="47"/>
  <c r="R224" i="47"/>
  <c r="R176" i="47"/>
  <c r="R7" i="47"/>
  <c r="R166" i="47"/>
  <c r="R186" i="47"/>
  <c r="R11" i="47"/>
  <c r="R52" i="47"/>
  <c r="R66" i="47"/>
  <c r="R168" i="47"/>
  <c r="R179" i="47"/>
  <c r="R84" i="47"/>
  <c r="R127" i="47"/>
  <c r="R138" i="47"/>
  <c r="R201" i="47"/>
  <c r="R101" i="47"/>
  <c r="R135" i="47"/>
  <c r="R81" i="47"/>
  <c r="R173" i="47"/>
  <c r="R15" i="47"/>
  <c r="R134" i="47"/>
  <c r="R271" i="47"/>
  <c r="R75" i="47"/>
  <c r="R85" i="47"/>
  <c r="R96" i="47"/>
  <c r="R274" i="47"/>
  <c r="R34" i="47"/>
  <c r="R159" i="47"/>
  <c r="R71" i="47"/>
  <c r="R236" i="47"/>
  <c r="R28" i="47"/>
  <c r="R177" i="47"/>
  <c r="R141" i="47"/>
  <c r="R79" i="47"/>
  <c r="R196" i="47"/>
  <c r="R144" i="47"/>
  <c r="R46" i="47"/>
  <c r="R146" i="47"/>
  <c r="R187" i="47"/>
  <c r="R219" i="47"/>
  <c r="R12" i="47"/>
  <c r="R124" i="47"/>
  <c r="R38" i="47"/>
  <c r="R10" i="47"/>
  <c r="R64" i="47"/>
  <c r="R167" i="47"/>
  <c r="R220" i="47"/>
  <c r="R230" i="47"/>
  <c r="R137" i="47"/>
  <c r="R246" i="47"/>
  <c r="R202" i="47"/>
  <c r="R131" i="47"/>
  <c r="R226" i="47"/>
  <c r="R68" i="47"/>
  <c r="R218" i="47"/>
  <c r="R126" i="47"/>
  <c r="R188" i="47"/>
  <c r="R203" i="47"/>
  <c r="R277" i="47"/>
  <c r="R152" i="47"/>
  <c r="R122" i="47"/>
  <c r="R242" i="47"/>
  <c r="R128" i="47"/>
  <c r="R189" i="47"/>
  <c r="R204" i="47"/>
  <c r="R197" i="47"/>
  <c r="R208" i="47"/>
  <c r="R53" i="47"/>
  <c r="R170" i="47"/>
  <c r="R118" i="47"/>
  <c r="R108" i="47"/>
  <c r="R165" i="47"/>
  <c r="R270" i="47"/>
  <c r="R178" i="47"/>
  <c r="R125" i="47"/>
  <c r="R247" i="47"/>
  <c r="R69" i="47"/>
  <c r="R49" i="47"/>
  <c r="R87" i="47"/>
  <c r="R232" i="47"/>
  <c r="R77" i="47"/>
  <c r="R32" i="47"/>
  <c r="DH28" i="7"/>
  <c r="C10" i="45"/>
  <c r="C12" i="50"/>
  <c r="C131" i="30"/>
  <c r="C129" i="34"/>
  <c r="C10" i="46"/>
  <c r="C8" i="46"/>
  <c r="C134" i="32"/>
  <c r="C115" i="28"/>
  <c r="AZ9" i="43" s="1"/>
  <c r="C132" i="38"/>
  <c r="C10" i="48"/>
  <c r="C130" i="38"/>
  <c r="C10" i="50"/>
  <c r="C113" i="28"/>
  <c r="AZ7" i="43" s="1"/>
  <c r="AG110" i="49"/>
  <c r="AG52" i="49"/>
  <c r="AG111" i="49"/>
  <c r="AG117" i="49"/>
  <c r="AG109" i="49"/>
  <c r="AG48" i="49"/>
  <c r="AG12" i="49"/>
  <c r="AG102" i="49"/>
  <c r="AG122" i="49"/>
  <c r="AG93" i="49"/>
  <c r="AG44" i="49"/>
  <c r="AG37" i="49"/>
  <c r="AG114" i="49"/>
  <c r="AG74" i="49"/>
  <c r="AG63" i="49"/>
  <c r="AG4" i="49"/>
  <c r="AG25" i="49"/>
  <c r="AG120" i="49"/>
  <c r="AG53" i="49"/>
  <c r="AG36" i="49"/>
  <c r="AG41" i="49"/>
  <c r="AG65" i="49"/>
  <c r="AG58" i="49"/>
  <c r="AG106" i="49"/>
  <c r="AG43" i="49"/>
  <c r="AG33" i="49"/>
  <c r="AG42" i="49"/>
  <c r="AG64" i="49"/>
  <c r="AG38" i="49"/>
  <c r="AG124" i="49"/>
  <c r="AG30" i="49"/>
  <c r="AG62" i="49"/>
  <c r="AG13" i="49"/>
  <c r="AG18" i="49"/>
  <c r="AG82" i="49"/>
  <c r="AG100" i="49"/>
  <c r="AG67" i="49"/>
  <c r="AG20" i="49"/>
  <c r="AG84" i="49"/>
  <c r="AG49" i="49"/>
  <c r="AG70" i="49"/>
  <c r="AG19" i="49"/>
  <c r="AG92" i="49"/>
  <c r="AG85" i="49"/>
  <c r="AG88" i="49"/>
  <c r="AG103" i="49"/>
  <c r="AG21" i="49"/>
  <c r="AG107" i="49"/>
  <c r="AG125" i="49"/>
  <c r="AG14" i="49"/>
  <c r="AG15" i="49"/>
  <c r="AG118" i="49"/>
  <c r="AG66" i="49"/>
  <c r="AG11" i="49"/>
  <c r="AG104" i="49"/>
  <c r="AG113" i="49"/>
  <c r="AG47" i="49"/>
  <c r="AG39" i="49"/>
  <c r="AG60" i="49"/>
  <c r="AG78" i="49"/>
  <c r="AG90" i="49"/>
  <c r="AG61" i="49"/>
  <c r="AG71" i="49"/>
  <c r="AG26" i="49"/>
  <c r="AG89" i="49"/>
  <c r="AG108" i="49"/>
  <c r="AG29" i="49"/>
  <c r="AG16" i="49"/>
  <c r="AG98" i="49"/>
  <c r="AG121" i="49"/>
  <c r="AG115" i="49"/>
  <c r="AG80" i="49"/>
  <c r="AG86" i="49"/>
  <c r="AG54" i="49"/>
  <c r="AG91" i="49"/>
  <c r="AG7" i="49"/>
  <c r="AG79" i="49"/>
  <c r="AG72" i="49"/>
  <c r="AG32" i="49"/>
  <c r="AG17" i="49"/>
  <c r="AG46" i="49"/>
  <c r="AG123" i="49"/>
  <c r="AG57" i="49"/>
  <c r="AG45" i="49"/>
  <c r="AG119" i="49"/>
  <c r="AG95" i="49"/>
  <c r="AG105" i="49"/>
  <c r="AG112" i="49"/>
  <c r="AG59" i="49"/>
  <c r="AG9" i="49"/>
  <c r="AG6" i="49"/>
  <c r="AG77" i="49"/>
  <c r="AG87" i="49"/>
  <c r="AG23" i="49"/>
  <c r="AG76" i="49"/>
  <c r="AG99" i="49"/>
  <c r="AG22" i="49"/>
  <c r="AG73" i="49"/>
  <c r="AG50" i="49"/>
  <c r="AG101" i="49"/>
  <c r="AG27" i="49"/>
  <c r="AG28" i="49"/>
  <c r="AG24" i="49"/>
  <c r="AG97" i="49"/>
  <c r="AG81" i="49"/>
  <c r="AG8" i="49"/>
  <c r="AG55" i="49"/>
  <c r="AG34" i="49"/>
  <c r="AG69" i="49"/>
  <c r="AG116" i="49"/>
  <c r="AG10" i="49"/>
  <c r="AG68" i="49"/>
  <c r="AG75" i="49"/>
  <c r="AG94" i="49"/>
  <c r="AG35" i="49"/>
  <c r="AG51" i="49"/>
  <c r="AG83" i="49"/>
  <c r="AG31" i="49"/>
  <c r="AG40" i="49"/>
  <c r="AG96" i="49"/>
  <c r="AG56" i="49"/>
  <c r="AG5" i="49"/>
  <c r="C127" i="34"/>
  <c r="C8" i="45"/>
  <c r="G267" i="10"/>
  <c r="G274" i="10"/>
  <c r="B267" i="10"/>
  <c r="J37" i="10"/>
  <c r="K37" i="10" s="1"/>
  <c r="C132" i="32"/>
  <c r="C129" i="30"/>
  <c r="C129" i="36"/>
  <c r="G279" i="10"/>
  <c r="G286" i="10"/>
  <c r="B279" i="10"/>
  <c r="Q111" i="47"/>
  <c r="Q63" i="47"/>
  <c r="Q54" i="47"/>
  <c r="Q51" i="47"/>
  <c r="Q212" i="47"/>
  <c r="Q46" i="47"/>
  <c r="Q219" i="47"/>
  <c r="Q25" i="47"/>
  <c r="Q159" i="47"/>
  <c r="Q180" i="47"/>
  <c r="Q190" i="47"/>
  <c r="Q80" i="47"/>
  <c r="Q129" i="47"/>
  <c r="Q27" i="47"/>
  <c r="Q266" i="47"/>
  <c r="Q263" i="47"/>
  <c r="Q265" i="47"/>
  <c r="Q32" i="47"/>
  <c r="Q127" i="47"/>
  <c r="Q217" i="47"/>
  <c r="Q248" i="47"/>
  <c r="Q147" i="47"/>
  <c r="Q114" i="47"/>
  <c r="Q236" i="47"/>
  <c r="Q135" i="47"/>
  <c r="Q230" i="47"/>
  <c r="Q165" i="47"/>
  <c r="Q29" i="47"/>
  <c r="Q86" i="47"/>
  <c r="Q44" i="47"/>
  <c r="Q157" i="47"/>
  <c r="Q115" i="47"/>
  <c r="Q268" i="47"/>
  <c r="Q259" i="47"/>
  <c r="Q141" i="47"/>
  <c r="Q264" i="47"/>
  <c r="Q106" i="47"/>
  <c r="Q251" i="47"/>
  <c r="Q235" i="47"/>
  <c r="Q38" i="47"/>
  <c r="Q189" i="47"/>
  <c r="Q243" i="47"/>
  <c r="Q184" i="47"/>
  <c r="Q133" i="47"/>
  <c r="Q99" i="47"/>
  <c r="Q193" i="47"/>
  <c r="Q166" i="47"/>
  <c r="Q102" i="47"/>
  <c r="Q269" i="47"/>
  <c r="Q116" i="47"/>
  <c r="Q65" i="47"/>
  <c r="Q252" i="47"/>
  <c r="Q49" i="47"/>
  <c r="Q47" i="47"/>
  <c r="Q9" i="47"/>
  <c r="Q262" i="47"/>
  <c r="Q197" i="47"/>
  <c r="Q91" i="47"/>
  <c r="Q85" i="47"/>
  <c r="Q68" i="47"/>
  <c r="Q234" i="47"/>
  <c r="Q112" i="47"/>
  <c r="Q69" i="47"/>
  <c r="Q215" i="47"/>
  <c r="Q79" i="47"/>
  <c r="Q247" i="47"/>
  <c r="Q37" i="47"/>
  <c r="Q232" i="47"/>
  <c r="Q174" i="47"/>
  <c r="Q239" i="47"/>
  <c r="Q214" i="47"/>
  <c r="Q238" i="47"/>
  <c r="Q124" i="47"/>
  <c r="Q223" i="47"/>
  <c r="Q171" i="47"/>
  <c r="Q120" i="47"/>
  <c r="Q24" i="47"/>
  <c r="Q237" i="47"/>
  <c r="Q175" i="47"/>
  <c r="Q162" i="47"/>
  <c r="Q6" i="47"/>
  <c r="Q250" i="47"/>
  <c r="Q242" i="47"/>
  <c r="Q182" i="47"/>
  <c r="Q110" i="47"/>
  <c r="Q103" i="47"/>
  <c r="Q170" i="47"/>
  <c r="Q15" i="47"/>
  <c r="Q12" i="47"/>
  <c r="Q194" i="47"/>
  <c r="Q210" i="47"/>
  <c r="Q100" i="47"/>
  <c r="Q279" i="47"/>
  <c r="Q16" i="47"/>
  <c r="Q205" i="47"/>
  <c r="Q34" i="47"/>
  <c r="Q89" i="47"/>
  <c r="Q198" i="47"/>
  <c r="Q195" i="47"/>
  <c r="Q206" i="47"/>
  <c r="Q74" i="47"/>
  <c r="Q277" i="47"/>
  <c r="Q149" i="47"/>
  <c r="Q163" i="47"/>
  <c r="Q154" i="47"/>
  <c r="Q261" i="47"/>
  <c r="Q225" i="47"/>
  <c r="Q244" i="47"/>
  <c r="Q88" i="47"/>
  <c r="Q273" i="47"/>
  <c r="Q64" i="47"/>
  <c r="Q270" i="47"/>
  <c r="Q8" i="47"/>
  <c r="Q23" i="47"/>
  <c r="Q220" i="47"/>
  <c r="Q11" i="47"/>
  <c r="Q148" i="47"/>
  <c r="Q151" i="47"/>
  <c r="Q87" i="47"/>
  <c r="Q56" i="47"/>
  <c r="Q218" i="47"/>
  <c r="Q132" i="47"/>
  <c r="Q186" i="47"/>
  <c r="Q78" i="47"/>
  <c r="Q76" i="47"/>
  <c r="Q58" i="47"/>
  <c r="Q168" i="47"/>
  <c r="Q185" i="47"/>
  <c r="Q35" i="47"/>
  <c r="Q42" i="47"/>
  <c r="Q191" i="47"/>
  <c r="Q153" i="47"/>
  <c r="Q255" i="47"/>
  <c r="Q30" i="47"/>
  <c r="Q26" i="47"/>
  <c r="Q271" i="47"/>
  <c r="Q142" i="47"/>
  <c r="Q14" i="47"/>
  <c r="Q31" i="47"/>
  <c r="Q72" i="47"/>
  <c r="Q134" i="47"/>
  <c r="Q48" i="47"/>
  <c r="Q39" i="47"/>
  <c r="Q108" i="47"/>
  <c r="Q150" i="47"/>
  <c r="Q138" i="47"/>
  <c r="Q253" i="47"/>
  <c r="Q240" i="47"/>
  <c r="Q207" i="47"/>
  <c r="Q113" i="47"/>
  <c r="Q98" i="47"/>
  <c r="Q92" i="47"/>
  <c r="Q137" i="47"/>
  <c r="Q177" i="47"/>
  <c r="Q228" i="47"/>
  <c r="Q167" i="47"/>
  <c r="Q233" i="47"/>
  <c r="Q104" i="47"/>
  <c r="Q196" i="47"/>
  <c r="Q33" i="47"/>
  <c r="Q94" i="47"/>
  <c r="Q96" i="47"/>
  <c r="Q254" i="47"/>
  <c r="Q17" i="47"/>
  <c r="Q71" i="47"/>
  <c r="Q84" i="47"/>
  <c r="Q145" i="47"/>
  <c r="Q140" i="47"/>
  <c r="Q55" i="47"/>
  <c r="Q52" i="47"/>
  <c r="Q146" i="47"/>
  <c r="Q118" i="47"/>
  <c r="Q178" i="47"/>
  <c r="Q156" i="47"/>
  <c r="Q227" i="47"/>
  <c r="Q67" i="47"/>
  <c r="Q278" i="47"/>
  <c r="Q4" i="47"/>
  <c r="Q187" i="47"/>
  <c r="Q36" i="47"/>
  <c r="Q224" i="47"/>
  <c r="Q245" i="47"/>
  <c r="Q143" i="47"/>
  <c r="Q41" i="47"/>
  <c r="Q122" i="47"/>
  <c r="Q20" i="47"/>
  <c r="Q109" i="47"/>
  <c r="Q257" i="47"/>
  <c r="Q256" i="47"/>
  <c r="Q73" i="47"/>
  <c r="Q101" i="47"/>
  <c r="Q241" i="47"/>
  <c r="Q81" i="47"/>
  <c r="Q216" i="47"/>
  <c r="Q93" i="47"/>
  <c r="Q144" i="47"/>
  <c r="Q183" i="47"/>
  <c r="Q221" i="47"/>
  <c r="Q62" i="47"/>
  <c r="Q121" i="47"/>
  <c r="Q13" i="47"/>
  <c r="Q208" i="47"/>
  <c r="Q126" i="47"/>
  <c r="Q59" i="47"/>
  <c r="Q83" i="47"/>
  <c r="Q181" i="47"/>
  <c r="Q201" i="47"/>
  <c r="Q192" i="47"/>
  <c r="Q60" i="47"/>
  <c r="Q7" i="47"/>
  <c r="Q280" i="47"/>
  <c r="Q61" i="47"/>
  <c r="Q125" i="47"/>
  <c r="Q161" i="47"/>
  <c r="Q275" i="47"/>
  <c r="Q169" i="47"/>
  <c r="Q172" i="47"/>
  <c r="Q22" i="47"/>
  <c r="Q173" i="47"/>
  <c r="Q139" i="47"/>
  <c r="Q246" i="47"/>
  <c r="Q203" i="47"/>
  <c r="Q188" i="47"/>
  <c r="Q131" i="47"/>
  <c r="Q75" i="47"/>
  <c r="Q18" i="47"/>
  <c r="Q19" i="47"/>
  <c r="Q123" i="47"/>
  <c r="Q272" i="47"/>
  <c r="Q128" i="47"/>
  <c r="Q176" i="47"/>
  <c r="Q107" i="47"/>
  <c r="Q274" i="47"/>
  <c r="Q57" i="47"/>
  <c r="Q179" i="47"/>
  <c r="Q40" i="47"/>
  <c r="Q164" i="47"/>
  <c r="Q10" i="47"/>
  <c r="Q50" i="47"/>
  <c r="Q82" i="47"/>
  <c r="Q119" i="47"/>
  <c r="Q231" i="47"/>
  <c r="Q5" i="47"/>
  <c r="Q45" i="47"/>
  <c r="Q66" i="47"/>
  <c r="Q155" i="47"/>
  <c r="Q200" i="47"/>
  <c r="Q117" i="47"/>
  <c r="Q258" i="47"/>
  <c r="Q199" i="47"/>
  <c r="Q249" i="47"/>
  <c r="Q21" i="47"/>
  <c r="Q90" i="47"/>
  <c r="Q276" i="47"/>
  <c r="Q70" i="47"/>
  <c r="Q158" i="47"/>
  <c r="Q160" i="47"/>
  <c r="Q130" i="47"/>
  <c r="Q43" i="47"/>
  <c r="Q229" i="47"/>
  <c r="Q152" i="47"/>
  <c r="Q105" i="47"/>
  <c r="Q222" i="47"/>
  <c r="Q209" i="47"/>
  <c r="Q136" i="47"/>
  <c r="Q95" i="47"/>
  <c r="Q267" i="47"/>
  <c r="Q204" i="47"/>
  <c r="Q53" i="47"/>
  <c r="Q226" i="47"/>
  <c r="Q28" i="47"/>
  <c r="Q97" i="47"/>
  <c r="Q213" i="47"/>
  <c r="Q202" i="47"/>
  <c r="Q260" i="47"/>
  <c r="Q77" i="47"/>
  <c r="Q211" i="47"/>
  <c r="B69" i="43"/>
  <c r="B52" i="43"/>
  <c r="B89" i="43"/>
  <c r="B61" i="43"/>
  <c r="B237" i="43"/>
  <c r="B119" i="43"/>
  <c r="B82" i="43"/>
  <c r="B200" i="43"/>
  <c r="B130" i="43"/>
  <c r="B34" i="43"/>
  <c r="B23" i="43"/>
  <c r="B65" i="43"/>
  <c r="B195" i="43"/>
  <c r="B213" i="43"/>
  <c r="B202" i="43"/>
  <c r="B71" i="43"/>
  <c r="B172" i="43"/>
  <c r="B128" i="43"/>
  <c r="B215" i="43"/>
  <c r="B72" i="43"/>
  <c r="B191" i="43"/>
  <c r="B179" i="43"/>
  <c r="B30" i="43"/>
  <c r="B78" i="43"/>
  <c r="B75" i="43"/>
  <c r="B203" i="43"/>
  <c r="B121" i="43"/>
  <c r="B39" i="43"/>
  <c r="B37" i="43"/>
  <c r="B94" i="43"/>
  <c r="B95" i="43"/>
  <c r="B81" i="43"/>
  <c r="B226" i="43"/>
  <c r="B208" i="43"/>
  <c r="B224" i="43"/>
  <c r="B104" i="43"/>
  <c r="B144" i="43"/>
  <c r="B149" i="43"/>
  <c r="B54" i="43"/>
  <c r="B77" i="43"/>
  <c r="B205" i="43"/>
  <c r="B198" i="43"/>
  <c r="B98" i="43"/>
  <c r="B182" i="43"/>
  <c r="B91" i="43"/>
  <c r="B175" i="43"/>
  <c r="B211" i="43"/>
  <c r="B117" i="43"/>
  <c r="B48" i="43"/>
  <c r="B177" i="43"/>
  <c r="B126" i="43"/>
  <c r="B15" i="43"/>
  <c r="B90" i="43"/>
  <c r="B127" i="43"/>
  <c r="B233" i="43"/>
  <c r="B181" i="43"/>
  <c r="B231" i="43"/>
  <c r="B159" i="43"/>
  <c r="B10" i="43"/>
  <c r="B165" i="43"/>
  <c r="AP2" i="43"/>
  <c r="B84" i="43"/>
  <c r="B167" i="43"/>
  <c r="B114" i="43"/>
  <c r="B49" i="43"/>
  <c r="B236" i="43"/>
  <c r="B227" i="43"/>
  <c r="B212" i="43"/>
  <c r="B74" i="43"/>
  <c r="B59" i="43"/>
  <c r="B173" i="43"/>
  <c r="B76" i="43"/>
  <c r="B164" i="43"/>
  <c r="B106" i="43"/>
  <c r="B20" i="43"/>
  <c r="B235" i="43"/>
  <c r="B44" i="43"/>
  <c r="B141" i="43"/>
  <c r="B229" i="43"/>
  <c r="B110" i="43"/>
  <c r="B9" i="43"/>
  <c r="B96" i="43"/>
  <c r="B62" i="43"/>
  <c r="B40" i="43"/>
  <c r="B29" i="43"/>
  <c r="B122" i="43"/>
  <c r="B136" i="43"/>
  <c r="B80" i="43"/>
  <c r="B146" i="43"/>
  <c r="B232" i="43"/>
  <c r="B55" i="43"/>
  <c r="B64" i="43"/>
  <c r="B16" i="43"/>
  <c r="B102" i="43"/>
  <c r="B24" i="43"/>
  <c r="B168" i="43"/>
  <c r="B100" i="43"/>
  <c r="B47" i="43"/>
  <c r="B140" i="43"/>
  <c r="B58" i="43"/>
  <c r="B184" i="43"/>
  <c r="B138" i="43"/>
  <c r="B11" i="43"/>
  <c r="B86" i="43"/>
  <c r="B225" i="43"/>
  <c r="B197" i="43"/>
  <c r="B174" i="43"/>
  <c r="B186" i="43"/>
  <c r="B201" i="43"/>
  <c r="B170" i="43"/>
  <c r="B189" i="43"/>
  <c r="B19" i="43"/>
  <c r="B131" i="43"/>
  <c r="B185" i="43"/>
  <c r="B88" i="43"/>
  <c r="B132" i="43"/>
  <c r="B99" i="43"/>
  <c r="B108" i="43"/>
  <c r="B50" i="43"/>
  <c r="B143" i="43"/>
  <c r="B79" i="43"/>
  <c r="B155" i="43"/>
  <c r="B178" i="43"/>
  <c r="B123" i="43"/>
  <c r="B124" i="43"/>
  <c r="B115" i="43"/>
  <c r="B187" i="43"/>
  <c r="B33" i="43"/>
  <c r="B87" i="43"/>
  <c r="B156" i="43"/>
  <c r="B134" i="43"/>
  <c r="B188" i="43"/>
  <c r="B68" i="43"/>
  <c r="B60" i="43"/>
  <c r="B31" i="43"/>
  <c r="B97" i="43"/>
  <c r="B41" i="43"/>
  <c r="B150" i="43"/>
  <c r="B166" i="43"/>
  <c r="B154" i="43"/>
  <c r="B85" i="43"/>
  <c r="B25" i="43"/>
  <c r="B103" i="43"/>
  <c r="B63" i="43"/>
  <c r="B206" i="43"/>
  <c r="B53" i="43"/>
  <c r="B151" i="43"/>
  <c r="B223" i="43"/>
  <c r="B145" i="43"/>
  <c r="B56" i="43"/>
  <c r="B45" i="43"/>
  <c r="B147" i="43"/>
  <c r="B209" i="43"/>
  <c r="B67" i="43"/>
  <c r="B210" i="43"/>
  <c r="B92" i="43"/>
  <c r="B101" i="43"/>
  <c r="B43" i="43"/>
  <c r="B234" i="43"/>
  <c r="B32" i="43"/>
  <c r="B157" i="43"/>
  <c r="B192" i="43"/>
  <c r="B230" i="43"/>
  <c r="B190" i="43"/>
  <c r="B125" i="43"/>
  <c r="B163" i="43"/>
  <c r="B142" i="43"/>
  <c r="B204" i="43"/>
  <c r="B139" i="43"/>
  <c r="B160" i="43"/>
  <c r="B18" i="43"/>
  <c r="B196" i="43"/>
  <c r="B129" i="43"/>
  <c r="B214" i="43"/>
  <c r="B152" i="43"/>
  <c r="B239" i="43"/>
  <c r="B180" i="43"/>
  <c r="B14" i="43"/>
  <c r="B27" i="43"/>
  <c r="B207" i="43"/>
  <c r="B217" i="43"/>
  <c r="B194" i="43"/>
  <c r="B70" i="43"/>
  <c r="B137" i="43"/>
  <c r="B148" i="43"/>
  <c r="B220" i="43"/>
  <c r="B113" i="43"/>
  <c r="B21" i="43"/>
  <c r="B107" i="43"/>
  <c r="B135" i="43"/>
  <c r="B112" i="43"/>
  <c r="B38" i="43"/>
  <c r="B218" i="43"/>
  <c r="B162" i="43"/>
  <c r="B193" i="43"/>
  <c r="B51" i="43"/>
  <c r="B105" i="43"/>
  <c r="B36" i="43"/>
  <c r="B199" i="43"/>
  <c r="B57" i="43"/>
  <c r="B93" i="43"/>
  <c r="B176" i="43"/>
  <c r="B171" i="43"/>
  <c r="B83" i="43"/>
  <c r="B109" i="43"/>
  <c r="B12" i="43"/>
  <c r="B216" i="43"/>
  <c r="B73" i="43"/>
  <c r="B28" i="43"/>
  <c r="B183" i="43"/>
  <c r="B228" i="43"/>
  <c r="B26" i="43"/>
  <c r="B8" i="43"/>
  <c r="B66" i="43"/>
  <c r="B111" i="43"/>
  <c r="B240" i="43"/>
  <c r="B116" i="43"/>
  <c r="B35" i="43"/>
  <c r="B238" i="43"/>
  <c r="B161" i="43"/>
  <c r="B118" i="43"/>
  <c r="B17" i="43"/>
  <c r="B153" i="43"/>
  <c r="B46" i="43"/>
  <c r="B13" i="43"/>
  <c r="B133" i="43"/>
  <c r="B169" i="43"/>
  <c r="B158" i="43"/>
  <c r="B22" i="43"/>
  <c r="B120" i="43"/>
  <c r="B42" i="43"/>
  <c r="B222" i="43"/>
  <c r="B221" i="43"/>
  <c r="B219" i="43"/>
  <c r="B7" i="43"/>
  <c r="J16" i="21"/>
  <c r="L8" i="41"/>
  <c r="F6" i="24"/>
  <c r="D16" i="21" s="1"/>
  <c r="E3" i="43"/>
  <c r="D3" i="43"/>
  <c r="D3" i="42"/>
  <c r="AC6" i="42" s="1"/>
  <c r="F3" i="49"/>
  <c r="D3" i="49"/>
  <c r="A3" i="42"/>
  <c r="C3" i="42"/>
  <c r="B3" i="42"/>
  <c r="F3" i="42"/>
  <c r="V3" i="42"/>
  <c r="F142" i="32"/>
  <c r="E37" i="56" l="1"/>
  <c r="E35" i="56" s="1"/>
  <c r="E38" i="56" s="1"/>
  <c r="P58" i="57"/>
  <c r="P60" i="57" s="1"/>
  <c r="Q59" i="57" s="1"/>
  <c r="D23" i="56"/>
  <c r="E19" i="56"/>
  <c r="E23" i="56" s="1"/>
  <c r="Q53" i="57"/>
  <c r="Q58" i="57" s="1"/>
  <c r="D35" i="56"/>
  <c r="D38" i="56" s="1"/>
  <c r="AC7" i="18"/>
  <c r="N19" i="18"/>
  <c r="N28" i="18" s="1"/>
  <c r="BG7" i="18"/>
  <c r="AM7" i="18"/>
  <c r="BQ7" i="18"/>
  <c r="S7" i="18"/>
  <c r="B39" i="18"/>
  <c r="G39" i="18" s="1"/>
  <c r="D39" i="18" s="1"/>
  <c r="H39" i="18" s="1"/>
  <c r="B16" i="20"/>
  <c r="C5" i="46"/>
  <c r="J5" i="46" s="1"/>
  <c r="J11" i="46" s="1"/>
  <c r="AZ4" i="43"/>
  <c r="C7" i="50"/>
  <c r="C128" i="30"/>
  <c r="J128" i="30" s="1"/>
  <c r="C129" i="38"/>
  <c r="J129" i="38" s="1"/>
  <c r="C112" i="28"/>
  <c r="AK6" i="42" s="1"/>
  <c r="C128" i="36"/>
  <c r="J128" i="36" s="1"/>
  <c r="C7" i="46"/>
  <c r="J7" i="46" s="1"/>
  <c r="C7" i="45"/>
  <c r="J7" i="45" s="1"/>
  <c r="C126" i="34"/>
  <c r="J126" i="34" s="1"/>
  <c r="C9" i="50"/>
  <c r="C131" i="32"/>
  <c r="J131" i="32" s="1"/>
  <c r="AK4" i="42"/>
  <c r="C126" i="30"/>
  <c r="J126" i="30" s="1"/>
  <c r="J132" i="30" s="1"/>
  <c r="C5" i="45"/>
  <c r="J5" i="45" s="1"/>
  <c r="J11" i="45" s="1"/>
  <c r="C124" i="34"/>
  <c r="J124" i="34" s="1"/>
  <c r="J130" i="34" s="1"/>
  <c r="C129" i="32"/>
  <c r="J129" i="32" s="1"/>
  <c r="J135" i="32" s="1"/>
  <c r="C127" i="38"/>
  <c r="J127" i="38" s="1"/>
  <c r="J133" i="38" s="1"/>
  <c r="C126" i="36"/>
  <c r="J126" i="36" s="1"/>
  <c r="J132" i="36" s="1"/>
  <c r="C5" i="48"/>
  <c r="J5" i="48" s="1"/>
  <c r="J11" i="48" s="1"/>
  <c r="I34" i="25"/>
  <c r="I36" i="25" s="1"/>
  <c r="C128" i="38"/>
  <c r="J128" i="38" s="1"/>
  <c r="AZ5" i="43"/>
  <c r="C6" i="41"/>
  <c r="J6" i="41" s="1"/>
  <c r="C127" i="30"/>
  <c r="J127" i="30" s="1"/>
  <c r="C127" i="36"/>
  <c r="J127" i="36" s="1"/>
  <c r="C125" i="34"/>
  <c r="J125" i="34" s="1"/>
  <c r="C8" i="50"/>
  <c r="AK5" i="42"/>
  <c r="C6" i="46"/>
  <c r="J6" i="46" s="1"/>
  <c r="C6" i="45"/>
  <c r="J6" i="45" s="1"/>
  <c r="C6" i="48"/>
  <c r="J6" i="48" s="1"/>
  <c r="C130" i="32"/>
  <c r="J130" i="32" s="1"/>
  <c r="E21" i="24"/>
  <c r="J7" i="48"/>
  <c r="E18" i="24"/>
  <c r="E20" i="24"/>
  <c r="E19" i="24"/>
  <c r="E17" i="24"/>
  <c r="AZ19" i="49"/>
  <c r="AX65" i="49"/>
  <c r="AG26" i="47"/>
  <c r="AJ109" i="49"/>
  <c r="AJ47" i="49"/>
  <c r="B44" i="49"/>
  <c r="AJ4" i="49"/>
  <c r="AJ9" i="49"/>
  <c r="B15" i="49"/>
  <c r="AJ72" i="49"/>
  <c r="AJ78" i="49"/>
  <c r="B106" i="49"/>
  <c r="AJ36" i="49"/>
  <c r="AJ57" i="49"/>
  <c r="B102" i="49"/>
  <c r="AJ8" i="49"/>
  <c r="AJ39" i="49"/>
  <c r="B51" i="49"/>
  <c r="AJ81" i="49"/>
  <c r="AJ124" i="49"/>
  <c r="B116" i="49"/>
  <c r="B32" i="49"/>
  <c r="AJ49" i="49"/>
  <c r="AJ105" i="49"/>
  <c r="B88" i="49"/>
  <c r="B70" i="49"/>
  <c r="B3" i="49"/>
  <c r="AJ90" i="49"/>
  <c r="AJ22" i="49"/>
  <c r="B36" i="49"/>
  <c r="B61" i="49"/>
  <c r="Q4" i="49"/>
  <c r="Q48" i="49"/>
  <c r="AJ26" i="49"/>
  <c r="AJ64" i="49"/>
  <c r="AJ71" i="49"/>
  <c r="AJ40" i="49"/>
  <c r="AJ28" i="49"/>
  <c r="AJ50" i="49"/>
  <c r="B112" i="49"/>
  <c r="B68" i="49"/>
  <c r="B40" i="49"/>
  <c r="AJ13" i="49"/>
  <c r="AJ98" i="49"/>
  <c r="AJ97" i="49"/>
  <c r="B33" i="49"/>
  <c r="AJ107" i="49"/>
  <c r="AJ6" i="49"/>
  <c r="AJ92" i="49"/>
  <c r="AJ5" i="49"/>
  <c r="AJ116" i="49"/>
  <c r="AJ96" i="49"/>
  <c r="B83" i="49"/>
  <c r="B35" i="49"/>
  <c r="B67" i="49"/>
  <c r="AJ17" i="49"/>
  <c r="AJ121" i="49"/>
  <c r="B20" i="49"/>
  <c r="AJ25" i="49"/>
  <c r="AJ24" i="49"/>
  <c r="AJ75" i="49"/>
  <c r="AJ61" i="49"/>
  <c r="AJ41" i="49"/>
  <c r="B72" i="49"/>
  <c r="B69" i="49"/>
  <c r="B13" i="49"/>
  <c r="B107" i="49"/>
  <c r="AJ80" i="49"/>
  <c r="B10" i="49"/>
  <c r="AJ14" i="49"/>
  <c r="AJ89" i="49"/>
  <c r="AJ67" i="49"/>
  <c r="AJ99" i="49"/>
  <c r="AJ101" i="49"/>
  <c r="B53" i="49"/>
  <c r="B48" i="49"/>
  <c r="B96" i="49"/>
  <c r="B16" i="49"/>
  <c r="AJ38" i="49"/>
  <c r="AJ32" i="49"/>
  <c r="AJ33" i="49"/>
  <c r="AJ60" i="49"/>
  <c r="AJ18" i="49"/>
  <c r="AJ20" i="49"/>
  <c r="AJ31" i="49"/>
  <c r="AJ84" i="49"/>
  <c r="AJ65" i="49"/>
  <c r="AJ52" i="49"/>
  <c r="AJ76" i="49"/>
  <c r="AJ10" i="49"/>
  <c r="AJ23" i="49"/>
  <c r="AJ54" i="49"/>
  <c r="B76" i="49"/>
  <c r="B21" i="49"/>
  <c r="B17" i="49"/>
  <c r="B71" i="49"/>
  <c r="B89" i="49"/>
  <c r="B104" i="49"/>
  <c r="B110" i="49"/>
  <c r="B80" i="49"/>
  <c r="B86" i="49"/>
  <c r="B52" i="49"/>
  <c r="B26" i="49"/>
  <c r="B64" i="49"/>
  <c r="B111" i="49"/>
  <c r="B28" i="49"/>
  <c r="B123" i="49"/>
  <c r="O45" i="1"/>
  <c r="AJ68" i="49"/>
  <c r="AJ51" i="49"/>
  <c r="AJ108" i="49"/>
  <c r="AJ62" i="49"/>
  <c r="AJ112" i="49"/>
  <c r="AJ95" i="49"/>
  <c r="AJ110" i="49"/>
  <c r="AJ86" i="49"/>
  <c r="AJ35" i="49"/>
  <c r="AJ59" i="49"/>
  <c r="AJ111" i="49"/>
  <c r="AJ122" i="49"/>
  <c r="AJ27" i="49"/>
  <c r="AJ94" i="49"/>
  <c r="B109" i="49"/>
  <c r="B65" i="49"/>
  <c r="B27" i="49"/>
  <c r="B39" i="49"/>
  <c r="B29" i="49"/>
  <c r="B118" i="49"/>
  <c r="B122" i="49"/>
  <c r="B90" i="49"/>
  <c r="B94" i="49"/>
  <c r="B11" i="49"/>
  <c r="B74" i="49"/>
  <c r="B98" i="49"/>
  <c r="B50" i="49"/>
  <c r="B23" i="49"/>
  <c r="B93" i="49"/>
  <c r="N16" i="1"/>
  <c r="N8" i="2" s="1"/>
  <c r="AJ104" i="49"/>
  <c r="AJ56" i="49"/>
  <c r="AJ100" i="49"/>
  <c r="AJ34" i="49"/>
  <c r="AJ79" i="49"/>
  <c r="AJ15" i="49"/>
  <c r="AJ125" i="49"/>
  <c r="AJ44" i="49"/>
  <c r="AJ93" i="49"/>
  <c r="AJ77" i="49"/>
  <c r="AJ7" i="49"/>
  <c r="AJ120" i="49"/>
  <c r="AJ63" i="49"/>
  <c r="AJ87" i="49"/>
  <c r="B119" i="49"/>
  <c r="B49" i="49"/>
  <c r="B87" i="49"/>
  <c r="B91" i="49"/>
  <c r="B105" i="49"/>
  <c r="B8" i="49"/>
  <c r="B19" i="49"/>
  <c r="B95" i="49"/>
  <c r="B115" i="49"/>
  <c r="B12" i="49"/>
  <c r="B24" i="49"/>
  <c r="B73" i="49"/>
  <c r="B75" i="49"/>
  <c r="B81" i="49"/>
  <c r="B79" i="49"/>
  <c r="AJ16" i="49"/>
  <c r="AJ66" i="49"/>
  <c r="AJ73" i="49"/>
  <c r="AJ46" i="49"/>
  <c r="AJ37" i="49"/>
  <c r="AJ85" i="49"/>
  <c r="AJ74" i="49"/>
  <c r="AJ119" i="49"/>
  <c r="AJ45" i="49"/>
  <c r="AJ48" i="49"/>
  <c r="AJ29" i="49"/>
  <c r="AJ115" i="49"/>
  <c r="AJ70" i="49"/>
  <c r="AJ69" i="49"/>
  <c r="B84" i="49"/>
  <c r="B37" i="49"/>
  <c r="B45" i="49"/>
  <c r="B9" i="49"/>
  <c r="B82" i="49"/>
  <c r="B85" i="49"/>
  <c r="B57" i="49"/>
  <c r="B55" i="49"/>
  <c r="B62" i="49"/>
  <c r="B22" i="49"/>
  <c r="B97" i="49"/>
  <c r="B25" i="49"/>
  <c r="B101" i="49"/>
  <c r="B41" i="49"/>
  <c r="B113" i="49"/>
  <c r="B125" i="49"/>
  <c r="B99" i="49"/>
  <c r="B92" i="49"/>
  <c r="B120" i="49"/>
  <c r="B114" i="49"/>
  <c r="B58" i="49"/>
  <c r="B100" i="49"/>
  <c r="B59" i="49"/>
  <c r="B30" i="49"/>
  <c r="B121" i="49"/>
  <c r="B42" i="49"/>
  <c r="B60" i="49"/>
  <c r="B108" i="49"/>
  <c r="B77" i="49"/>
  <c r="B14" i="49"/>
  <c r="B63" i="49"/>
  <c r="O44" i="1"/>
  <c r="AJ19" i="49"/>
  <c r="AJ12" i="49"/>
  <c r="AJ118" i="49"/>
  <c r="AJ91" i="49"/>
  <c r="AJ102" i="49"/>
  <c r="AJ113" i="49"/>
  <c r="AJ114" i="49"/>
  <c r="AJ123" i="49"/>
  <c r="AJ58" i="49"/>
  <c r="AJ53" i="49"/>
  <c r="AJ103" i="49"/>
  <c r="AJ43" i="49"/>
  <c r="AJ88" i="49"/>
  <c r="AJ106" i="49"/>
  <c r="B7" i="49"/>
  <c r="B117" i="49"/>
  <c r="B56" i="49"/>
  <c r="B47" i="49"/>
  <c r="B38" i="49"/>
  <c r="B31" i="49"/>
  <c r="B18" i="49"/>
  <c r="B66" i="49"/>
  <c r="B124" i="49"/>
  <c r="B78" i="49"/>
  <c r="B46" i="49"/>
  <c r="B54" i="49"/>
  <c r="B103" i="49"/>
  <c r="B34" i="49"/>
  <c r="AZ110" i="49"/>
  <c r="AG277" i="47"/>
  <c r="A89" i="49"/>
  <c r="AG19" i="47"/>
  <c r="U226" i="43"/>
  <c r="U93" i="43"/>
  <c r="AG275" i="47"/>
  <c r="U48" i="43"/>
  <c r="AG21" i="47"/>
  <c r="AG278" i="47"/>
  <c r="AG69" i="47"/>
  <c r="AG279" i="47"/>
  <c r="AX41" i="49"/>
  <c r="U60" i="43"/>
  <c r="U7" i="43"/>
  <c r="U98" i="43"/>
  <c r="U12" i="43"/>
  <c r="D131" i="47"/>
  <c r="AG126" i="47"/>
  <c r="AG95" i="47"/>
  <c r="AG270" i="47"/>
  <c r="AG130" i="47"/>
  <c r="AX46" i="49"/>
  <c r="U57" i="43"/>
  <c r="U16" i="43"/>
  <c r="U188" i="43"/>
  <c r="U137" i="43"/>
  <c r="D66" i="47"/>
  <c r="AG269" i="47"/>
  <c r="AG221" i="47"/>
  <c r="AG199" i="47"/>
  <c r="AG204" i="47"/>
  <c r="AX10" i="49"/>
  <c r="U179" i="43"/>
  <c r="U132" i="43"/>
  <c r="U34" i="43"/>
  <c r="U170" i="43"/>
  <c r="D154" i="47"/>
  <c r="AG81" i="47"/>
  <c r="AG241" i="47"/>
  <c r="AG87" i="47"/>
  <c r="AG164" i="47"/>
  <c r="AX26" i="49"/>
  <c r="U104" i="43"/>
  <c r="U215" i="43"/>
  <c r="U44" i="43"/>
  <c r="AG203" i="47"/>
  <c r="AG29" i="47"/>
  <c r="AG107" i="47"/>
  <c r="AG38" i="47"/>
  <c r="AG190" i="47"/>
  <c r="AX40" i="49"/>
  <c r="U22" i="43"/>
  <c r="U142" i="43"/>
  <c r="U160" i="43"/>
  <c r="U177" i="43"/>
  <c r="AG88" i="47"/>
  <c r="AG36" i="47"/>
  <c r="AG105" i="47"/>
  <c r="AG274" i="47"/>
  <c r="AG181" i="47"/>
  <c r="AX82" i="49"/>
  <c r="U74" i="43"/>
  <c r="U208" i="43"/>
  <c r="U143" i="43"/>
  <c r="U227" i="43"/>
  <c r="D183" i="47"/>
  <c r="AG189" i="47"/>
  <c r="AG168" i="47"/>
  <c r="AG143" i="47"/>
  <c r="AG151" i="47"/>
  <c r="AX27" i="49"/>
  <c r="U45" i="43"/>
  <c r="U39" i="43"/>
  <c r="U197" i="43"/>
  <c r="U47" i="43"/>
  <c r="D194" i="47"/>
  <c r="T190" i="43"/>
  <c r="T234" i="43"/>
  <c r="C3" i="49"/>
  <c r="T225" i="43"/>
  <c r="T51" i="43"/>
  <c r="T31" i="43"/>
  <c r="T220" i="43"/>
  <c r="F81" i="43"/>
  <c r="T236" i="43"/>
  <c r="C122" i="49"/>
  <c r="T214" i="43"/>
  <c r="T70" i="43"/>
  <c r="T104" i="43"/>
  <c r="D13" i="1"/>
  <c r="AJ11" i="49"/>
  <c r="B94" i="47"/>
  <c r="F225" i="43"/>
  <c r="F196" i="43"/>
  <c r="F56" i="43"/>
  <c r="B168" i="47"/>
  <c r="F91" i="43"/>
  <c r="F131" i="43"/>
  <c r="F74" i="43"/>
  <c r="F132" i="43"/>
  <c r="F93" i="43"/>
  <c r="F63" i="43"/>
  <c r="F3" i="43"/>
  <c r="F162" i="43"/>
  <c r="F208" i="43"/>
  <c r="F150" i="43"/>
  <c r="F109" i="43"/>
  <c r="C69" i="49"/>
  <c r="F229" i="43"/>
  <c r="F185" i="43"/>
  <c r="F134" i="43"/>
  <c r="F122" i="43"/>
  <c r="C86" i="49"/>
  <c r="F135" i="43"/>
  <c r="F240" i="43"/>
  <c r="F34" i="43"/>
  <c r="F113" i="43"/>
  <c r="C81" i="49"/>
  <c r="B150" i="47"/>
  <c r="F35" i="43"/>
  <c r="F88" i="43"/>
  <c r="F143" i="43"/>
  <c r="F27" i="43"/>
  <c r="B274" i="47"/>
  <c r="C119" i="49"/>
  <c r="B33" i="47"/>
  <c r="F68" i="43"/>
  <c r="F180" i="43"/>
  <c r="F123" i="43"/>
  <c r="E15" i="1"/>
  <c r="E13" i="1" s="1"/>
  <c r="AJ61" i="47"/>
  <c r="G12" i="41"/>
  <c r="G13" i="41" s="1"/>
  <c r="AW111" i="49"/>
  <c r="U33" i="47"/>
  <c r="U262" i="47"/>
  <c r="R186" i="43"/>
  <c r="B18" i="11"/>
  <c r="AG176" i="47"/>
  <c r="AG132" i="47"/>
  <c r="AG23" i="47"/>
  <c r="AG47" i="47"/>
  <c r="AG104" i="47"/>
  <c r="AG80" i="47"/>
  <c r="AG185" i="47"/>
  <c r="AG207" i="47"/>
  <c r="AG13" i="47"/>
  <c r="AG261" i="47"/>
  <c r="AG96" i="47"/>
  <c r="AG97" i="47"/>
  <c r="AG116" i="47"/>
  <c r="AG17" i="47"/>
  <c r="AG24" i="47"/>
  <c r="AG63" i="47"/>
  <c r="AG163" i="47"/>
  <c r="AG145" i="47"/>
  <c r="AG184" i="47"/>
  <c r="AG27" i="47"/>
  <c r="AG246" i="47"/>
  <c r="AG177" i="47"/>
  <c r="AG242" i="47"/>
  <c r="AG273" i="47"/>
  <c r="AG152" i="47"/>
  <c r="AG84" i="47"/>
  <c r="AG162" i="47"/>
  <c r="AG20" i="47"/>
  <c r="AG11" i="47"/>
  <c r="AG173" i="47"/>
  <c r="AG37" i="47"/>
  <c r="AG66" i="47"/>
  <c r="AG56" i="47"/>
  <c r="AG131" i="47"/>
  <c r="AG79" i="47"/>
  <c r="J8" i="46"/>
  <c r="D87" i="47"/>
  <c r="D119" i="47"/>
  <c r="D28" i="47"/>
  <c r="D110" i="47"/>
  <c r="D248" i="47"/>
  <c r="AG179" i="47"/>
  <c r="AG174" i="47"/>
  <c r="AG9" i="47"/>
  <c r="AG60" i="47"/>
  <c r="AG228" i="47"/>
  <c r="AG100" i="47"/>
  <c r="AG110" i="47"/>
  <c r="AG25" i="47"/>
  <c r="AG112" i="47"/>
  <c r="AG123" i="47"/>
  <c r="AG39" i="47"/>
  <c r="AG73" i="47"/>
  <c r="AG159" i="47"/>
  <c r="AG4" i="47"/>
  <c r="AG202" i="47"/>
  <c r="AG247" i="47"/>
  <c r="AG127" i="47"/>
  <c r="AG276" i="47"/>
  <c r="AG211" i="47"/>
  <c r="AG101" i="47"/>
  <c r="AG92" i="47"/>
  <c r="AG8" i="47"/>
  <c r="AG83" i="47"/>
  <c r="AG85" i="47"/>
  <c r="AG78" i="47"/>
  <c r="G116" i="28"/>
  <c r="G118" i="28" s="1"/>
  <c r="D176" i="47"/>
  <c r="D205" i="47"/>
  <c r="D34" i="47"/>
  <c r="D11" i="47"/>
  <c r="D72" i="47"/>
  <c r="AG65" i="47"/>
  <c r="AG14" i="47"/>
  <c r="AG240" i="47"/>
  <c r="AG108" i="47"/>
  <c r="AG91" i="47"/>
  <c r="AG89" i="47"/>
  <c r="AG213" i="47"/>
  <c r="AG138" i="47"/>
  <c r="AG171" i="47"/>
  <c r="AG102" i="47"/>
  <c r="AG215" i="47"/>
  <c r="AG6" i="47"/>
  <c r="AG266" i="47"/>
  <c r="AG218" i="47"/>
  <c r="AG54" i="47"/>
  <c r="AG200" i="47"/>
  <c r="AG235" i="47"/>
  <c r="AG231" i="47"/>
  <c r="AG42" i="47"/>
  <c r="AG259" i="47"/>
  <c r="AG59" i="47"/>
  <c r="AG71" i="47"/>
  <c r="AG182" i="47"/>
  <c r="AG239" i="47"/>
  <c r="AG124" i="47"/>
  <c r="AG195" i="47"/>
  <c r="AG157" i="47"/>
  <c r="AG237" i="47"/>
  <c r="AG46" i="47"/>
  <c r="AG150" i="47"/>
  <c r="AG41" i="47"/>
  <c r="AG48" i="47"/>
  <c r="AG139" i="47"/>
  <c r="AG219" i="47"/>
  <c r="AG30" i="47"/>
  <c r="AG255" i="47"/>
  <c r="AG167" i="47"/>
  <c r="AG86" i="47"/>
  <c r="J129" i="30"/>
  <c r="D206" i="47"/>
  <c r="D207" i="47"/>
  <c r="D169" i="47"/>
  <c r="D167" i="47"/>
  <c r="D26" i="47"/>
  <c r="D3" i="47"/>
  <c r="AG77" i="47"/>
  <c r="AG253" i="47"/>
  <c r="AG94" i="47"/>
  <c r="AG129" i="47"/>
  <c r="AG90" i="47"/>
  <c r="AG230" i="47"/>
  <c r="AG113" i="47"/>
  <c r="AG114" i="47"/>
  <c r="AG198" i="47"/>
  <c r="AG244" i="47"/>
  <c r="AG44" i="47"/>
  <c r="AG220" i="47"/>
  <c r="AG119" i="47"/>
  <c r="AG201" i="47"/>
  <c r="AG227" i="47"/>
  <c r="AG224" i="47"/>
  <c r="AG183" i="47"/>
  <c r="AG5" i="47"/>
  <c r="AG206" i="47"/>
  <c r="AG12" i="47"/>
  <c r="AG118" i="47"/>
  <c r="AG61" i="47"/>
  <c r="AG22" i="47"/>
  <c r="AG245" i="47"/>
  <c r="AG103" i="47"/>
  <c r="AG135" i="47"/>
  <c r="AG265" i="47"/>
  <c r="AG166" i="47"/>
  <c r="AG74" i="47"/>
  <c r="AG76" i="47"/>
  <c r="AG238" i="47"/>
  <c r="AG149" i="47"/>
  <c r="AG49" i="47"/>
  <c r="AG158" i="47"/>
  <c r="AG280" i="47"/>
  <c r="AG272" i="47"/>
  <c r="AG271" i="47"/>
  <c r="AG178" i="47"/>
  <c r="J132" i="32"/>
  <c r="D62" i="47"/>
  <c r="D259" i="47"/>
  <c r="D123" i="47"/>
  <c r="D92" i="47"/>
  <c r="D274" i="47"/>
  <c r="AG141" i="47"/>
  <c r="AG121" i="47"/>
  <c r="AG212" i="47"/>
  <c r="AG70" i="47"/>
  <c r="AG154" i="47"/>
  <c r="AG128" i="47"/>
  <c r="AG193" i="47"/>
  <c r="AG57" i="47"/>
  <c r="AG236" i="47"/>
  <c r="AG208" i="47"/>
  <c r="AG169" i="47"/>
  <c r="AG263" i="47"/>
  <c r="AG210" i="47"/>
  <c r="AG16" i="47"/>
  <c r="AG268" i="47"/>
  <c r="AG15" i="47"/>
  <c r="AG122" i="47"/>
  <c r="AG197" i="47"/>
  <c r="AG172" i="47"/>
  <c r="AG216" i="47"/>
  <c r="AG258" i="47"/>
  <c r="AG28" i="47"/>
  <c r="AG267" i="47"/>
  <c r="AG156" i="47"/>
  <c r="AG225" i="47"/>
  <c r="AG55" i="47"/>
  <c r="AG67" i="47"/>
  <c r="AG35" i="47"/>
  <c r="AG106" i="47"/>
  <c r="AG115" i="47"/>
  <c r="AG262" i="47"/>
  <c r="AG186" i="47"/>
  <c r="AG232" i="47"/>
  <c r="AG217" i="47"/>
  <c r="AG144" i="47"/>
  <c r="AG161" i="47"/>
  <c r="AG50" i="47"/>
  <c r="AG192" i="47"/>
  <c r="AG252" i="47"/>
  <c r="D182" i="47"/>
  <c r="D104" i="47"/>
  <c r="D43" i="47"/>
  <c r="D49" i="47"/>
  <c r="D253" i="47"/>
  <c r="AG98" i="47"/>
  <c r="AG34" i="47"/>
  <c r="AG153" i="47"/>
  <c r="AG251" i="47"/>
  <c r="AG125" i="47"/>
  <c r="AG194" i="47"/>
  <c r="AG75" i="47"/>
  <c r="AG222" i="47"/>
  <c r="AG140" i="47"/>
  <c r="AG134" i="47"/>
  <c r="AG52" i="47"/>
  <c r="AG31" i="47"/>
  <c r="AL112" i="49"/>
  <c r="D225" i="47"/>
  <c r="D130" i="47"/>
  <c r="D14" i="47"/>
  <c r="D42" i="47"/>
  <c r="D180" i="47"/>
  <c r="AG249" i="47"/>
  <c r="AG146" i="47"/>
  <c r="AG155" i="47"/>
  <c r="AG7" i="47"/>
  <c r="AG137" i="47"/>
  <c r="AG165" i="47"/>
  <c r="AG120" i="47"/>
  <c r="AG214" i="47"/>
  <c r="AG53" i="47"/>
  <c r="AG62" i="47"/>
  <c r="AG40" i="47"/>
  <c r="AG196" i="47"/>
  <c r="AG243" i="47"/>
  <c r="AG99" i="47"/>
  <c r="AG117" i="47"/>
  <c r="AG188" i="47"/>
  <c r="AG233" i="47"/>
  <c r="AG264" i="47"/>
  <c r="AG260" i="47"/>
  <c r="AG109" i="47"/>
  <c r="AG234" i="47"/>
  <c r="AG142" i="47"/>
  <c r="AG248" i="47"/>
  <c r="AG58" i="47"/>
  <c r="AG187" i="47"/>
  <c r="AG254" i="47"/>
  <c r="AG229" i="47"/>
  <c r="AG51" i="47"/>
  <c r="AG180" i="47"/>
  <c r="AG136" i="47"/>
  <c r="AG72" i="47"/>
  <c r="AG32" i="47"/>
  <c r="AG160" i="47"/>
  <c r="AG45" i="47"/>
  <c r="AG33" i="47"/>
  <c r="AG223" i="47"/>
  <c r="AG205" i="47"/>
  <c r="AG250" i="47"/>
  <c r="AG111" i="47"/>
  <c r="AG191" i="47"/>
  <c r="AG68" i="47"/>
  <c r="AG10" i="47"/>
  <c r="AG256" i="47"/>
  <c r="AG18" i="47"/>
  <c r="AG226" i="47"/>
  <c r="AG82" i="47"/>
  <c r="AG147" i="47"/>
  <c r="AG43" i="47"/>
  <c r="AG209" i="47"/>
  <c r="AG148" i="47"/>
  <c r="AG93" i="47"/>
  <c r="AG257" i="47"/>
  <c r="AG175" i="47"/>
  <c r="AG133" i="47"/>
  <c r="AG64" i="47"/>
  <c r="AG170" i="47"/>
  <c r="AL30" i="49"/>
  <c r="D61" i="47"/>
  <c r="D263" i="47"/>
  <c r="D74" i="47"/>
  <c r="D137" i="47"/>
  <c r="D193" i="47"/>
  <c r="AW120" i="49"/>
  <c r="U257" i="47"/>
  <c r="U157" i="47"/>
  <c r="U267" i="47"/>
  <c r="U232" i="47"/>
  <c r="E61" i="49"/>
  <c r="U227" i="47"/>
  <c r="U44" i="47"/>
  <c r="U221" i="47"/>
  <c r="U185" i="47"/>
  <c r="AW21" i="49"/>
  <c r="U141" i="47"/>
  <c r="U14" i="47"/>
  <c r="F12" i="50"/>
  <c r="J12" i="50" s="1"/>
  <c r="J129" i="34"/>
  <c r="AW107" i="49"/>
  <c r="U82" i="47"/>
  <c r="U88" i="47"/>
  <c r="AJ195" i="47"/>
  <c r="AJ247" i="47"/>
  <c r="T144" i="43"/>
  <c r="T41" i="43"/>
  <c r="T55" i="43"/>
  <c r="U160" i="47"/>
  <c r="U258" i="47"/>
  <c r="U149" i="47"/>
  <c r="U272" i="47"/>
  <c r="AJ74" i="47"/>
  <c r="AH153" i="47"/>
  <c r="AJ80" i="47"/>
  <c r="AH278" i="47"/>
  <c r="T97" i="43"/>
  <c r="T175" i="43"/>
  <c r="T14" i="43"/>
  <c r="U208" i="47"/>
  <c r="U5" i="47"/>
  <c r="U151" i="47"/>
  <c r="U173" i="47"/>
  <c r="AJ211" i="47"/>
  <c r="T66" i="43"/>
  <c r="T200" i="43"/>
  <c r="T111" i="43"/>
  <c r="U28" i="47"/>
  <c r="U62" i="47"/>
  <c r="U143" i="47"/>
  <c r="U29" i="47"/>
  <c r="AJ199" i="47"/>
  <c r="T9" i="43"/>
  <c r="T172" i="43"/>
  <c r="T62" i="43"/>
  <c r="U252" i="47"/>
  <c r="U49" i="47"/>
  <c r="U259" i="47"/>
  <c r="U69" i="47"/>
  <c r="AJ139" i="47"/>
  <c r="T127" i="43"/>
  <c r="T130" i="43"/>
  <c r="T13" i="43"/>
  <c r="E102" i="49"/>
  <c r="U237" i="47"/>
  <c r="U246" i="47"/>
  <c r="U12" i="47"/>
  <c r="U279" i="47"/>
  <c r="U240" i="47"/>
  <c r="AJ101" i="47"/>
  <c r="C15" i="49"/>
  <c r="C27" i="49"/>
  <c r="C109" i="49"/>
  <c r="C28" i="49"/>
  <c r="C63" i="49"/>
  <c r="J10" i="46"/>
  <c r="AW27" i="49"/>
  <c r="AW13" i="49"/>
  <c r="AW63" i="49"/>
  <c r="AW11" i="49"/>
  <c r="AH28" i="47"/>
  <c r="E54" i="49"/>
  <c r="E89" i="49"/>
  <c r="AL74" i="49"/>
  <c r="AL44" i="49"/>
  <c r="U152" i="47"/>
  <c r="U172" i="47"/>
  <c r="U224" i="47"/>
  <c r="U65" i="47"/>
  <c r="U144" i="47"/>
  <c r="U169" i="47"/>
  <c r="U175" i="47"/>
  <c r="U16" i="47"/>
  <c r="U9" i="47"/>
  <c r="U156" i="47"/>
  <c r="U68" i="47"/>
  <c r="U129" i="47"/>
  <c r="U197" i="47"/>
  <c r="U177" i="47"/>
  <c r="U128" i="47"/>
  <c r="U77" i="47"/>
  <c r="U273" i="47"/>
  <c r="U270" i="47"/>
  <c r="U166" i="47"/>
  <c r="U102" i="47"/>
  <c r="U182" i="47"/>
  <c r="U201" i="47"/>
  <c r="U181" i="47"/>
  <c r="U231" i="47"/>
  <c r="U109" i="47"/>
  <c r="U170" i="47"/>
  <c r="U180" i="47"/>
  <c r="U18" i="47"/>
  <c r="U95" i="47"/>
  <c r="U120" i="47"/>
  <c r="U275" i="47"/>
  <c r="U251" i="47"/>
  <c r="U174" i="47"/>
  <c r="U19" i="47"/>
  <c r="AJ68" i="47"/>
  <c r="AJ30" i="47"/>
  <c r="AJ8" i="47"/>
  <c r="AJ16" i="47"/>
  <c r="AJ172" i="47"/>
  <c r="AJ84" i="47"/>
  <c r="AJ255" i="47"/>
  <c r="AJ56" i="47"/>
  <c r="AH143" i="47"/>
  <c r="C45" i="49"/>
  <c r="C113" i="49"/>
  <c r="C34" i="49"/>
  <c r="C115" i="49"/>
  <c r="C118" i="49"/>
  <c r="C80" i="49"/>
  <c r="J131" i="30"/>
  <c r="AW9" i="49"/>
  <c r="AW68" i="49"/>
  <c r="AW57" i="49"/>
  <c r="AW14" i="49"/>
  <c r="AH150" i="47"/>
  <c r="E49" i="49"/>
  <c r="E53" i="49"/>
  <c r="AL81" i="49"/>
  <c r="AL121" i="49"/>
  <c r="U64" i="47"/>
  <c r="U226" i="47"/>
  <c r="U274" i="47"/>
  <c r="U137" i="47"/>
  <c r="U20" i="47"/>
  <c r="U191" i="47"/>
  <c r="U73" i="47"/>
  <c r="U220" i="47"/>
  <c r="U184" i="47"/>
  <c r="U202" i="47"/>
  <c r="U209" i="47"/>
  <c r="U59" i="47"/>
  <c r="U119" i="47"/>
  <c r="U55" i="47"/>
  <c r="U216" i="47"/>
  <c r="U269" i="47"/>
  <c r="U114" i="47"/>
  <c r="U253" i="47"/>
  <c r="U276" i="47"/>
  <c r="U165" i="47"/>
  <c r="U67" i="47"/>
  <c r="U54" i="47"/>
  <c r="U93" i="47"/>
  <c r="U164" i="47"/>
  <c r="U53" i="47"/>
  <c r="U243" i="47"/>
  <c r="U147" i="47"/>
  <c r="U131" i="47"/>
  <c r="U27" i="47"/>
  <c r="U13" i="47"/>
  <c r="U249" i="47"/>
  <c r="U154" i="47"/>
  <c r="U261" i="47"/>
  <c r="U42" i="47"/>
  <c r="U84" i="47"/>
  <c r="AJ131" i="47"/>
  <c r="AJ119" i="47"/>
  <c r="AJ184" i="47"/>
  <c r="AJ228" i="47"/>
  <c r="AJ53" i="47"/>
  <c r="AJ135" i="47"/>
  <c r="AJ114" i="47"/>
  <c r="AJ93" i="47"/>
  <c r="AJ176" i="47"/>
  <c r="AH274" i="47"/>
  <c r="C31" i="49"/>
  <c r="C52" i="49"/>
  <c r="C125" i="49"/>
  <c r="C20" i="49"/>
  <c r="C94" i="49"/>
  <c r="C79" i="49"/>
  <c r="J134" i="32"/>
  <c r="AW106" i="49"/>
  <c r="AW52" i="49"/>
  <c r="AW89" i="49"/>
  <c r="AW95" i="49"/>
  <c r="AH110" i="47"/>
  <c r="E83" i="49"/>
  <c r="E9" i="49"/>
  <c r="AH215" i="47"/>
  <c r="AL67" i="49"/>
  <c r="U195" i="47"/>
  <c r="U136" i="47"/>
  <c r="U248" i="47"/>
  <c r="U204" i="47"/>
  <c r="U266" i="47"/>
  <c r="U47" i="47"/>
  <c r="U58" i="47"/>
  <c r="U222" i="47"/>
  <c r="U24" i="47"/>
  <c r="U200" i="47"/>
  <c r="U91" i="47"/>
  <c r="U80" i="47"/>
  <c r="U190" i="47"/>
  <c r="U138" i="47"/>
  <c r="U51" i="47"/>
  <c r="U206" i="47"/>
  <c r="U66" i="47"/>
  <c r="U90" i="47"/>
  <c r="U215" i="47"/>
  <c r="U97" i="47"/>
  <c r="U100" i="47"/>
  <c r="U105" i="47"/>
  <c r="U225" i="47"/>
  <c r="U45" i="47"/>
  <c r="U271" i="47"/>
  <c r="U31" i="47"/>
  <c r="U87" i="47"/>
  <c r="U127" i="47"/>
  <c r="U103" i="47"/>
  <c r="U139" i="47"/>
  <c r="U132" i="47"/>
  <c r="U23" i="47"/>
  <c r="U35" i="47"/>
  <c r="U155" i="47"/>
  <c r="U94" i="47"/>
  <c r="AJ37" i="47"/>
  <c r="AJ241" i="47"/>
  <c r="AJ26" i="47"/>
  <c r="AJ239" i="47"/>
  <c r="AJ251" i="47"/>
  <c r="AJ157" i="47"/>
  <c r="AJ78" i="47"/>
  <c r="AJ55" i="47"/>
  <c r="AJ32" i="47"/>
  <c r="AH163" i="47"/>
  <c r="C342" i="10"/>
  <c r="C37" i="49"/>
  <c r="AW81" i="49"/>
  <c r="AW93" i="49"/>
  <c r="AW84" i="49"/>
  <c r="AH275" i="47"/>
  <c r="E65" i="49"/>
  <c r="E113" i="49"/>
  <c r="AH272" i="47"/>
  <c r="AH136" i="47"/>
  <c r="AL46" i="49"/>
  <c r="AL89" i="49"/>
  <c r="U241" i="47"/>
  <c r="U71" i="47"/>
  <c r="U148" i="47"/>
  <c r="U187" i="47"/>
  <c r="U115" i="47"/>
  <c r="U121" i="47"/>
  <c r="U107" i="47"/>
  <c r="U146" i="47"/>
  <c r="U230" i="47"/>
  <c r="U123" i="47"/>
  <c r="U145" i="47"/>
  <c r="U39" i="47"/>
  <c r="U122" i="47"/>
  <c r="U233" i="47"/>
  <c r="U38" i="47"/>
  <c r="U22" i="47"/>
  <c r="U63" i="47"/>
  <c r="U46" i="47"/>
  <c r="U110" i="47"/>
  <c r="U78" i="47"/>
  <c r="U238" i="47"/>
  <c r="U192" i="47"/>
  <c r="U75" i="47"/>
  <c r="U210" i="47"/>
  <c r="U235" i="47"/>
  <c r="U183" i="47"/>
  <c r="U162" i="47"/>
  <c r="U198" i="47"/>
  <c r="U212" i="47"/>
  <c r="U217" i="47"/>
  <c r="U92" i="47"/>
  <c r="U106" i="47"/>
  <c r="U98" i="47"/>
  <c r="U26" i="47"/>
  <c r="U57" i="47"/>
  <c r="V73" i="49"/>
  <c r="AJ232" i="47"/>
  <c r="AJ141" i="47"/>
  <c r="AJ77" i="47"/>
  <c r="AJ143" i="47"/>
  <c r="AJ11" i="47"/>
  <c r="AJ169" i="47"/>
  <c r="AJ71" i="47"/>
  <c r="AJ18" i="47"/>
  <c r="AJ256" i="47"/>
  <c r="B342" i="10"/>
  <c r="C11" i="49"/>
  <c r="C24" i="49"/>
  <c r="C43" i="49"/>
  <c r="C85" i="49"/>
  <c r="C16" i="49"/>
  <c r="AW53" i="49"/>
  <c r="C51" i="49"/>
  <c r="C9" i="49"/>
  <c r="C73" i="49"/>
  <c r="C97" i="49"/>
  <c r="C7" i="49"/>
  <c r="C116" i="49"/>
  <c r="AW23" i="49"/>
  <c r="AW71" i="49"/>
  <c r="AW123" i="49"/>
  <c r="AW64" i="49"/>
  <c r="AH208" i="47"/>
  <c r="E68" i="49"/>
  <c r="E78" i="49"/>
  <c r="AH177" i="47"/>
  <c r="AH164" i="47"/>
  <c r="AL16" i="49"/>
  <c r="AL24" i="49"/>
  <c r="U104" i="47"/>
  <c r="U8" i="47"/>
  <c r="U245" i="47"/>
  <c r="U74" i="47"/>
  <c r="U158" i="47"/>
  <c r="U112" i="47"/>
  <c r="U7" i="47"/>
  <c r="U135" i="47"/>
  <c r="U265" i="47"/>
  <c r="U242" i="47"/>
  <c r="U111" i="47"/>
  <c r="U48" i="47"/>
  <c r="U278" i="47"/>
  <c r="U85" i="47"/>
  <c r="U142" i="47"/>
  <c r="U117" i="47"/>
  <c r="U133" i="47"/>
  <c r="U161" i="47"/>
  <c r="U186" i="47"/>
  <c r="U234" i="47"/>
  <c r="U255" i="47"/>
  <c r="U194" i="47"/>
  <c r="U256" i="47"/>
  <c r="U199" i="47"/>
  <c r="U247" i="47"/>
  <c r="U116" i="47"/>
  <c r="U79" i="47"/>
  <c r="U254" i="47"/>
  <c r="U30" i="47"/>
  <c r="U239" i="47"/>
  <c r="U250" i="47"/>
  <c r="U126" i="47"/>
  <c r="U167" i="47"/>
  <c r="U15" i="47"/>
  <c r="U178" i="47"/>
  <c r="V5" i="49"/>
  <c r="AJ231" i="47"/>
  <c r="AJ222" i="47"/>
  <c r="AJ94" i="47"/>
  <c r="AJ7" i="47"/>
  <c r="AJ210" i="47"/>
  <c r="AJ14" i="47"/>
  <c r="AJ175" i="47"/>
  <c r="AJ40" i="47"/>
  <c r="C106" i="49"/>
  <c r="C104" i="49"/>
  <c r="C42" i="49"/>
  <c r="C54" i="49"/>
  <c r="C29" i="49"/>
  <c r="C19" i="49"/>
  <c r="AW87" i="49"/>
  <c r="AW91" i="49"/>
  <c r="AW50" i="49"/>
  <c r="AW66" i="49"/>
  <c r="AH237" i="47"/>
  <c r="E58" i="49"/>
  <c r="E38" i="49"/>
  <c r="AH99" i="47"/>
  <c r="AL72" i="49"/>
  <c r="AL45" i="49"/>
  <c r="U11" i="47"/>
  <c r="U60" i="47"/>
  <c r="U76" i="47"/>
  <c r="U86" i="47"/>
  <c r="U214" i="47"/>
  <c r="U159" i="47"/>
  <c r="U113" i="47"/>
  <c r="U140" i="47"/>
  <c r="U17" i="47"/>
  <c r="U280" i="47"/>
  <c r="U263" i="47"/>
  <c r="U229" i="47"/>
  <c r="U277" i="47"/>
  <c r="U50" i="47"/>
  <c r="U211" i="47"/>
  <c r="U43" i="47"/>
  <c r="U223" i="47"/>
  <c r="U37" i="47"/>
  <c r="U244" i="47"/>
  <c r="U236" i="47"/>
  <c r="U41" i="47"/>
  <c r="U36" i="47"/>
  <c r="U188" i="47"/>
  <c r="U213" i="47"/>
  <c r="U52" i="47"/>
  <c r="U70" i="47"/>
  <c r="U118" i="47"/>
  <c r="U193" i="47"/>
  <c r="U228" i="47"/>
  <c r="U268" i="47"/>
  <c r="U264" i="47"/>
  <c r="U260" i="47"/>
  <c r="U108" i="47"/>
  <c r="U61" i="47"/>
  <c r="V80" i="49"/>
  <c r="AJ48" i="47"/>
  <c r="AJ121" i="47"/>
  <c r="AJ181" i="47"/>
  <c r="AJ212" i="47"/>
  <c r="AJ130" i="47"/>
  <c r="AJ57" i="47"/>
  <c r="AJ104" i="47"/>
  <c r="AJ149" i="47"/>
  <c r="C23" i="49"/>
  <c r="C75" i="49"/>
  <c r="C12" i="49"/>
  <c r="C74" i="49"/>
  <c r="C55" i="49"/>
  <c r="C120" i="49"/>
  <c r="AW17" i="49"/>
  <c r="AW79" i="49"/>
  <c r="AW54" i="49"/>
  <c r="AH81" i="47"/>
  <c r="E44" i="49"/>
  <c r="AL36" i="49"/>
  <c r="U6" i="47"/>
  <c r="U176" i="47"/>
  <c r="U150" i="47"/>
  <c r="U218" i="47"/>
  <c r="U56" i="47"/>
  <c r="U203" i="47"/>
  <c r="U89" i="47"/>
  <c r="U219" i="47"/>
  <c r="U99" i="47"/>
  <c r="U4" i="47"/>
  <c r="U32" i="47"/>
  <c r="U207" i="47"/>
  <c r="U153" i="47"/>
  <c r="U101" i="47"/>
  <c r="U125" i="47"/>
  <c r="U163" i="47"/>
  <c r="U124" i="47"/>
  <c r="U130" i="47"/>
  <c r="U25" i="47"/>
  <c r="U40" i="47"/>
  <c r="U179" i="47"/>
  <c r="U81" i="47"/>
  <c r="U205" i="47"/>
  <c r="U168" i="47"/>
  <c r="U96" i="47"/>
  <c r="U83" i="47"/>
  <c r="U189" i="47"/>
  <c r="U21" i="47"/>
  <c r="U134" i="47"/>
  <c r="U171" i="47"/>
  <c r="U72" i="47"/>
  <c r="U196" i="47"/>
  <c r="U10" i="47"/>
  <c r="U34" i="47"/>
  <c r="V85" i="49"/>
  <c r="AH219" i="47"/>
  <c r="AJ90" i="47"/>
  <c r="AJ10" i="47"/>
  <c r="AJ221" i="47"/>
  <c r="AJ160" i="47"/>
  <c r="AJ102" i="47"/>
  <c r="AJ35" i="47"/>
  <c r="AJ103" i="47"/>
  <c r="AJ108" i="47"/>
  <c r="Q98" i="49"/>
  <c r="Q15" i="49"/>
  <c r="Q46" i="49"/>
  <c r="Q8" i="49"/>
  <c r="Q124" i="49"/>
  <c r="Q34" i="49"/>
  <c r="Q93" i="49"/>
  <c r="Q5" i="49"/>
  <c r="Q55" i="49"/>
  <c r="Q89" i="49"/>
  <c r="Q43" i="49"/>
  <c r="Q108" i="49"/>
  <c r="Q6" i="49"/>
  <c r="Q58" i="49"/>
  <c r="S69" i="49"/>
  <c r="AZ106" i="49"/>
  <c r="AZ25" i="49"/>
  <c r="AZ88" i="49"/>
  <c r="AZ125" i="49"/>
  <c r="AY38" i="49"/>
  <c r="AZ53" i="49"/>
  <c r="AZ97" i="49"/>
  <c r="AZ5" i="49"/>
  <c r="AZ3" i="49"/>
  <c r="AZ86" i="49"/>
  <c r="S63" i="49"/>
  <c r="AZ94" i="49"/>
  <c r="AZ100" i="49"/>
  <c r="S121" i="49"/>
  <c r="AZ65" i="49"/>
  <c r="AZ113" i="49"/>
  <c r="AY85" i="49"/>
  <c r="S105" i="49"/>
  <c r="S51" i="49"/>
  <c r="S19" i="49"/>
  <c r="S56" i="49"/>
  <c r="AY116" i="49"/>
  <c r="S64" i="49"/>
  <c r="S98" i="49"/>
  <c r="S112" i="49"/>
  <c r="AY44" i="49"/>
  <c r="S25" i="49"/>
  <c r="S68" i="49"/>
  <c r="S66" i="49"/>
  <c r="AY35" i="49"/>
  <c r="S60" i="49"/>
  <c r="S94" i="49"/>
  <c r="S27" i="49"/>
  <c r="AY32" i="49"/>
  <c r="S101" i="49"/>
  <c r="S74" i="49"/>
  <c r="S83" i="49"/>
  <c r="S35" i="49"/>
  <c r="AY6" i="49"/>
  <c r="S58" i="49"/>
  <c r="S18" i="49"/>
  <c r="S38" i="49"/>
  <c r="S5" i="49"/>
  <c r="AY72" i="49"/>
  <c r="S89" i="49"/>
  <c r="S43" i="49"/>
  <c r="S52" i="49"/>
  <c r="S23" i="49"/>
  <c r="G130" i="30" a="1"/>
  <c r="G130" i="30" s="1"/>
  <c r="F140" i="30" s="1"/>
  <c r="F145" i="30" s="1"/>
  <c r="C20" i="31" s="1"/>
  <c r="AK34" i="49"/>
  <c r="AK78" i="49"/>
  <c r="E133" i="38"/>
  <c r="E135" i="38" s="1"/>
  <c r="F139" i="38" s="1"/>
  <c r="O13" i="7"/>
  <c r="AY16" i="7"/>
  <c r="BA67" i="49"/>
  <c r="BA90" i="49"/>
  <c r="E11" i="41"/>
  <c r="E13" i="41" s="1"/>
  <c r="AX16" i="7"/>
  <c r="AY117" i="49"/>
  <c r="AY49" i="49"/>
  <c r="AY20" i="49"/>
  <c r="AY75" i="49"/>
  <c r="AY10" i="49"/>
  <c r="AY121" i="49"/>
  <c r="AY47" i="49"/>
  <c r="D215" i="47"/>
  <c r="D98" i="47"/>
  <c r="D35" i="47"/>
  <c r="D84" i="47"/>
  <c r="D29" i="47"/>
  <c r="D212" i="47"/>
  <c r="D155" i="47"/>
  <c r="D262" i="47"/>
  <c r="D7" i="47"/>
  <c r="D78" i="47"/>
  <c r="D226" i="47"/>
  <c r="D267" i="47"/>
  <c r="D156" i="47"/>
  <c r="D118" i="47"/>
  <c r="D202" i="47"/>
  <c r="D168" i="47"/>
  <c r="D275" i="47"/>
  <c r="D54" i="47"/>
  <c r="D218" i="47"/>
  <c r="D229" i="47"/>
  <c r="D240" i="47"/>
  <c r="D261" i="47"/>
  <c r="D177" i="47"/>
  <c r="D163" i="47"/>
  <c r="D95" i="47"/>
  <c r="D22" i="47"/>
  <c r="D227" i="47"/>
  <c r="K9" i="48"/>
  <c r="J10" i="45"/>
  <c r="E15" i="7"/>
  <c r="E13" i="7" s="1"/>
  <c r="AK272" i="47"/>
  <c r="AH111" i="49"/>
  <c r="AH10" i="49"/>
  <c r="P16" i="7"/>
  <c r="BU25" i="2"/>
  <c r="BW25" i="2" s="1"/>
  <c r="D13" i="7"/>
  <c r="R66" i="43"/>
  <c r="R109" i="43"/>
  <c r="R134" i="43"/>
  <c r="R188" i="43"/>
  <c r="R150" i="43"/>
  <c r="R219" i="43"/>
  <c r="R81" i="43"/>
  <c r="B233" i="47"/>
  <c r="B142" i="47"/>
  <c r="B221" i="47"/>
  <c r="B136" i="47"/>
  <c r="B60" i="47"/>
  <c r="B235" i="47"/>
  <c r="AX94" i="49"/>
  <c r="AX45" i="49"/>
  <c r="AX92" i="49"/>
  <c r="AX61" i="49"/>
  <c r="AX25" i="49"/>
  <c r="AX75" i="49"/>
  <c r="AX125" i="49"/>
  <c r="AX28" i="49"/>
  <c r="U182" i="43"/>
  <c r="U237" i="43"/>
  <c r="U84" i="43"/>
  <c r="U161" i="43"/>
  <c r="U36" i="43"/>
  <c r="U139" i="43"/>
  <c r="U159" i="43"/>
  <c r="U166" i="43"/>
  <c r="U103" i="43"/>
  <c r="U61" i="43"/>
  <c r="U186" i="43"/>
  <c r="U82" i="43"/>
  <c r="U35" i="43"/>
  <c r="U65" i="43"/>
  <c r="U122" i="43"/>
  <c r="U223" i="43"/>
  <c r="U224" i="43"/>
  <c r="U78" i="43"/>
  <c r="U92" i="43"/>
  <c r="U96" i="43"/>
  <c r="U119" i="43"/>
  <c r="U216" i="43"/>
  <c r="U156" i="43"/>
  <c r="U195" i="43"/>
  <c r="U131" i="43"/>
  <c r="U113" i="43"/>
  <c r="U147" i="43"/>
  <c r="U9" i="43"/>
  <c r="U198" i="43"/>
  <c r="B215" i="47"/>
  <c r="B202" i="47"/>
  <c r="B128" i="47"/>
  <c r="B127" i="47"/>
  <c r="B95" i="47"/>
  <c r="B7" i="47"/>
  <c r="AX17" i="49"/>
  <c r="AX60" i="49"/>
  <c r="AX120" i="49"/>
  <c r="AX39" i="49"/>
  <c r="AX12" i="49"/>
  <c r="AX55" i="49"/>
  <c r="AX50" i="49"/>
  <c r="AX100" i="49"/>
  <c r="U240" i="43"/>
  <c r="U236" i="43"/>
  <c r="U49" i="43"/>
  <c r="U88" i="43"/>
  <c r="U37" i="43"/>
  <c r="U111" i="43"/>
  <c r="U114" i="43"/>
  <c r="U4" i="43"/>
  <c r="U205" i="43"/>
  <c r="U235" i="43"/>
  <c r="U192" i="43"/>
  <c r="U66" i="43"/>
  <c r="U54" i="43"/>
  <c r="U183" i="43"/>
  <c r="U128" i="43"/>
  <c r="U231" i="43"/>
  <c r="U169" i="43"/>
  <c r="U27" i="43"/>
  <c r="U185" i="43"/>
  <c r="U67" i="43"/>
  <c r="U40" i="43"/>
  <c r="U108" i="43"/>
  <c r="U18" i="43"/>
  <c r="U189" i="43"/>
  <c r="U136" i="43"/>
  <c r="U126" i="43"/>
  <c r="U102" i="43"/>
  <c r="U151" i="43"/>
  <c r="U213" i="43"/>
  <c r="B10" i="11"/>
  <c r="B3" i="47"/>
  <c r="B261" i="47"/>
  <c r="B164" i="47"/>
  <c r="B271" i="47"/>
  <c r="B112" i="47"/>
  <c r="B196" i="47"/>
  <c r="AX115" i="49"/>
  <c r="AX68" i="49"/>
  <c r="AX111" i="49"/>
  <c r="AX14" i="49"/>
  <c r="AX118" i="49"/>
  <c r="AX84" i="49"/>
  <c r="AX78" i="49"/>
  <c r="U85" i="43"/>
  <c r="U50" i="43"/>
  <c r="U109" i="43"/>
  <c r="U17" i="43"/>
  <c r="U152" i="43"/>
  <c r="U94" i="43"/>
  <c r="U70" i="43"/>
  <c r="U167" i="43"/>
  <c r="U207" i="43"/>
  <c r="U153" i="43"/>
  <c r="U206" i="43"/>
  <c r="U133" i="43"/>
  <c r="U71" i="43"/>
  <c r="U116" i="43"/>
  <c r="U239" i="43"/>
  <c r="U25" i="43"/>
  <c r="U225" i="43"/>
  <c r="U228" i="43"/>
  <c r="U23" i="43"/>
  <c r="U134" i="43"/>
  <c r="U212" i="43"/>
  <c r="U68" i="43"/>
  <c r="U89" i="43"/>
  <c r="U233" i="43"/>
  <c r="U21" i="43"/>
  <c r="U62" i="43"/>
  <c r="U210" i="43"/>
  <c r="U123" i="43"/>
  <c r="U121" i="43"/>
  <c r="B213" i="47"/>
  <c r="B204" i="47"/>
  <c r="B269" i="47"/>
  <c r="B229" i="47"/>
  <c r="B165" i="47"/>
  <c r="AX89" i="49"/>
  <c r="AX5" i="49"/>
  <c r="AX52" i="49"/>
  <c r="AX19" i="49"/>
  <c r="AX99" i="49"/>
  <c r="AX56" i="49"/>
  <c r="AX8" i="49"/>
  <c r="U124" i="43"/>
  <c r="U32" i="43"/>
  <c r="U63" i="43"/>
  <c r="U95" i="43"/>
  <c r="U6" i="43"/>
  <c r="U117" i="43"/>
  <c r="U100" i="43"/>
  <c r="U19" i="43"/>
  <c r="U176" i="43"/>
  <c r="U184" i="43"/>
  <c r="U24" i="43"/>
  <c r="U204" i="43"/>
  <c r="U201" i="43"/>
  <c r="U38" i="43"/>
  <c r="U99" i="43"/>
  <c r="U138" i="43"/>
  <c r="U20" i="43"/>
  <c r="U125" i="43"/>
  <c r="U174" i="43"/>
  <c r="U127" i="43"/>
  <c r="U135" i="43"/>
  <c r="U164" i="43"/>
  <c r="U41" i="43"/>
  <c r="U107" i="43"/>
  <c r="U202" i="43"/>
  <c r="U90" i="43"/>
  <c r="U11" i="43"/>
  <c r="U10" i="43"/>
  <c r="U43" i="43"/>
  <c r="U217" i="43"/>
  <c r="B11" i="47"/>
  <c r="B154" i="47"/>
  <c r="B267" i="47"/>
  <c r="B55" i="47"/>
  <c r="B30" i="47"/>
  <c r="AX57" i="49"/>
  <c r="AX15" i="49"/>
  <c r="AX110" i="49"/>
  <c r="AX87" i="49"/>
  <c r="AX6" i="49"/>
  <c r="AX7" i="49"/>
  <c r="AX81" i="49"/>
  <c r="U8" i="43"/>
  <c r="U59" i="43"/>
  <c r="U30" i="43"/>
  <c r="U83" i="43"/>
  <c r="U53" i="43"/>
  <c r="U28" i="43"/>
  <c r="U203" i="43"/>
  <c r="U162" i="43"/>
  <c r="U15" i="43"/>
  <c r="U200" i="43"/>
  <c r="U230" i="43"/>
  <c r="U52" i="43"/>
  <c r="U172" i="43"/>
  <c r="U154" i="43"/>
  <c r="U80" i="43"/>
  <c r="U87" i="43"/>
  <c r="U115" i="43"/>
  <c r="U173" i="43"/>
  <c r="U178" i="43"/>
  <c r="U155" i="43"/>
  <c r="U91" i="43"/>
  <c r="U26" i="43"/>
  <c r="U181" i="43"/>
  <c r="U175" i="43"/>
  <c r="U140" i="43"/>
  <c r="U220" i="43"/>
  <c r="U146" i="43"/>
  <c r="U56" i="43"/>
  <c r="U219" i="43"/>
  <c r="U31" i="43"/>
  <c r="B119" i="47"/>
  <c r="B254" i="47"/>
  <c r="B242" i="47"/>
  <c r="B72" i="47"/>
  <c r="B85" i="47"/>
  <c r="AX13" i="49"/>
  <c r="AX67" i="49"/>
  <c r="AX48" i="49"/>
  <c r="AX58" i="49"/>
  <c r="AX35" i="49"/>
  <c r="AX90" i="49"/>
  <c r="AX103" i="49"/>
  <c r="AX11" i="49"/>
  <c r="U163" i="43"/>
  <c r="U86" i="43"/>
  <c r="U112" i="43"/>
  <c r="U64" i="43"/>
  <c r="U238" i="43"/>
  <c r="U77" i="43"/>
  <c r="U97" i="43"/>
  <c r="U141" i="43"/>
  <c r="U118" i="43"/>
  <c r="U106" i="43"/>
  <c r="U165" i="43"/>
  <c r="U33" i="43"/>
  <c r="U148" i="43"/>
  <c r="U58" i="43"/>
  <c r="U222" i="43"/>
  <c r="U5" i="43"/>
  <c r="U72" i="43"/>
  <c r="U221" i="43"/>
  <c r="U129" i="43"/>
  <c r="U46" i="43"/>
  <c r="U191" i="43"/>
  <c r="U55" i="43"/>
  <c r="U150" i="43"/>
  <c r="U101" i="43"/>
  <c r="U73" i="43"/>
  <c r="U144" i="43"/>
  <c r="U214" i="43"/>
  <c r="U145" i="43"/>
  <c r="U157" i="43"/>
  <c r="U234" i="43"/>
  <c r="AX3" i="49"/>
  <c r="B9" i="47"/>
  <c r="B87" i="47"/>
  <c r="B198" i="47"/>
  <c r="B189" i="47"/>
  <c r="B220" i="47"/>
  <c r="AX20" i="49"/>
  <c r="AX44" i="49"/>
  <c r="AX24" i="49"/>
  <c r="AX42" i="49"/>
  <c r="AX36" i="49"/>
  <c r="AX29" i="49"/>
  <c r="AX34" i="49"/>
  <c r="U158" i="43"/>
  <c r="U79" i="43"/>
  <c r="U42" i="43"/>
  <c r="U13" i="43"/>
  <c r="U81" i="43"/>
  <c r="U130" i="43"/>
  <c r="U29" i="43"/>
  <c r="U171" i="43"/>
  <c r="U120" i="43"/>
  <c r="U51" i="43"/>
  <c r="U168" i="43"/>
  <c r="U110" i="43"/>
  <c r="U211" i="43"/>
  <c r="U180" i="43"/>
  <c r="U76" i="43"/>
  <c r="U69" i="43"/>
  <c r="U105" i="43"/>
  <c r="U194" i="43"/>
  <c r="U190" i="43"/>
  <c r="U209" i="43"/>
  <c r="U149" i="43"/>
  <c r="U14" i="43"/>
  <c r="U75" i="43"/>
  <c r="U187" i="43"/>
  <c r="U199" i="43"/>
  <c r="U218" i="43"/>
  <c r="U232" i="43"/>
  <c r="U196" i="43"/>
  <c r="U193" i="43"/>
  <c r="U229" i="43"/>
  <c r="B14" i="11"/>
  <c r="C34" i="25" s="1"/>
  <c r="C35" i="25" s="1"/>
  <c r="AK53" i="49"/>
  <c r="AK93" i="49"/>
  <c r="BA91" i="49"/>
  <c r="BA15" i="49"/>
  <c r="AH37" i="49"/>
  <c r="AH108" i="49"/>
  <c r="AK245" i="47"/>
  <c r="E8" i="24"/>
  <c r="AK110" i="49"/>
  <c r="AK92" i="49"/>
  <c r="BA28" i="49"/>
  <c r="BA49" i="49"/>
  <c r="AH113" i="49"/>
  <c r="AH79" i="49"/>
  <c r="AK203" i="47"/>
  <c r="AK89" i="49"/>
  <c r="BA25" i="49"/>
  <c r="BA116" i="49"/>
  <c r="AH29" i="49"/>
  <c r="AH16" i="49"/>
  <c r="E5" i="24"/>
  <c r="AK50" i="49"/>
  <c r="AK61" i="49"/>
  <c r="BA51" i="49"/>
  <c r="BA104" i="49"/>
  <c r="AH35" i="49"/>
  <c r="AH30" i="49"/>
  <c r="AK64" i="49"/>
  <c r="AK10" i="49"/>
  <c r="BA6" i="49"/>
  <c r="BA26" i="49"/>
  <c r="AH18" i="49"/>
  <c r="AK103" i="49"/>
  <c r="AK101" i="49"/>
  <c r="BA30" i="49"/>
  <c r="BA78" i="49"/>
  <c r="AH76" i="49"/>
  <c r="AH68" i="49"/>
  <c r="AK87" i="49"/>
  <c r="AK7" i="49"/>
  <c r="BA46" i="49"/>
  <c r="BA89" i="49"/>
  <c r="AH64" i="49"/>
  <c r="AH54" i="49"/>
  <c r="AK124" i="47"/>
  <c r="R89" i="43"/>
  <c r="R77" i="43"/>
  <c r="R38" i="43"/>
  <c r="R194" i="43"/>
  <c r="R179" i="43"/>
  <c r="R64" i="43"/>
  <c r="R103" i="43"/>
  <c r="R18" i="43"/>
  <c r="Q41" i="49"/>
  <c r="Q38" i="49"/>
  <c r="Q60" i="49"/>
  <c r="Q75" i="49"/>
  <c r="Q88" i="49"/>
  <c r="Q57" i="49"/>
  <c r="Q24" i="49"/>
  <c r="Q64" i="49"/>
  <c r="Q70" i="49"/>
  <c r="Q37" i="49"/>
  <c r="Q125" i="49"/>
  <c r="Q110" i="49"/>
  <c r="Q25" i="49"/>
  <c r="Q94" i="49"/>
  <c r="Q44" i="49"/>
  <c r="E42" i="49"/>
  <c r="E67" i="49"/>
  <c r="E52" i="49"/>
  <c r="E12" i="49"/>
  <c r="E120" i="49"/>
  <c r="E88" i="49"/>
  <c r="E30" i="49"/>
  <c r="E99" i="49"/>
  <c r="E48" i="49"/>
  <c r="E31" i="49"/>
  <c r="E23" i="49"/>
  <c r="E77" i="49"/>
  <c r="E94" i="49"/>
  <c r="E11" i="49"/>
  <c r="E105" i="49"/>
  <c r="T197" i="47"/>
  <c r="R143" i="43"/>
  <c r="R178" i="43"/>
  <c r="R155" i="43"/>
  <c r="R12" i="43"/>
  <c r="R159" i="43"/>
  <c r="R162" i="43"/>
  <c r="R225" i="43"/>
  <c r="R229" i="43"/>
  <c r="Q120" i="49"/>
  <c r="Q47" i="49"/>
  <c r="Q11" i="49"/>
  <c r="Q107" i="49"/>
  <c r="Q84" i="49"/>
  <c r="Q16" i="49"/>
  <c r="Q66" i="49"/>
  <c r="Q62" i="49"/>
  <c r="Q87" i="49"/>
  <c r="Q117" i="49"/>
  <c r="Q112" i="49"/>
  <c r="Q53" i="49"/>
  <c r="Q122" i="49"/>
  <c r="Q39" i="49"/>
  <c r="Q22" i="49"/>
  <c r="Q91" i="49"/>
  <c r="E124" i="49"/>
  <c r="E75" i="49"/>
  <c r="E59" i="49"/>
  <c r="E86" i="49"/>
  <c r="E85" i="49"/>
  <c r="E79" i="49"/>
  <c r="E28" i="49"/>
  <c r="E22" i="49"/>
  <c r="E45" i="49"/>
  <c r="E7" i="49"/>
  <c r="E114" i="49"/>
  <c r="E41" i="49"/>
  <c r="E14" i="49"/>
  <c r="E64" i="49"/>
  <c r="E112" i="49"/>
  <c r="BB88" i="49"/>
  <c r="T151" i="47"/>
  <c r="R37" i="43"/>
  <c r="R106" i="43"/>
  <c r="R108" i="43"/>
  <c r="R124" i="43"/>
  <c r="R196" i="43"/>
  <c r="R53" i="43"/>
  <c r="R86" i="43"/>
  <c r="Q29" i="49"/>
  <c r="Q52" i="49"/>
  <c r="Q102" i="49"/>
  <c r="Q80" i="49"/>
  <c r="Q21" i="49"/>
  <c r="Q90" i="49"/>
  <c r="Q76" i="49"/>
  <c r="Q26" i="49"/>
  <c r="Q12" i="49"/>
  <c r="Q81" i="49"/>
  <c r="Q67" i="49"/>
  <c r="Q17" i="49"/>
  <c r="Q86" i="49"/>
  <c r="Q36" i="49"/>
  <c r="Q105" i="49"/>
  <c r="E104" i="49"/>
  <c r="E21" i="49"/>
  <c r="E15" i="49"/>
  <c r="E50" i="49"/>
  <c r="E24" i="49"/>
  <c r="E55" i="49"/>
  <c r="E98" i="49"/>
  <c r="E10" i="49"/>
  <c r="E103" i="49"/>
  <c r="E110" i="49"/>
  <c r="E73" i="49"/>
  <c r="E117" i="49"/>
  <c r="E92" i="49"/>
  <c r="E32" i="49"/>
  <c r="E107" i="49"/>
  <c r="BB13" i="49"/>
  <c r="T127" i="47"/>
  <c r="E3" i="49"/>
  <c r="R161" i="43"/>
  <c r="R33" i="43"/>
  <c r="R104" i="43"/>
  <c r="R13" i="43"/>
  <c r="R29" i="43"/>
  <c r="R93" i="43"/>
  <c r="R41" i="43"/>
  <c r="Q74" i="49"/>
  <c r="Q79" i="49"/>
  <c r="Q85" i="49"/>
  <c r="Q35" i="49"/>
  <c r="Q63" i="49"/>
  <c r="Q54" i="49"/>
  <c r="Q23" i="49"/>
  <c r="Q109" i="49"/>
  <c r="Q104" i="49"/>
  <c r="Q45" i="49"/>
  <c r="Q40" i="49"/>
  <c r="Q100" i="49"/>
  <c r="Q50" i="49"/>
  <c r="Q31" i="49"/>
  <c r="Q69" i="49"/>
  <c r="E95" i="49"/>
  <c r="E20" i="49"/>
  <c r="E18" i="49"/>
  <c r="E97" i="49"/>
  <c r="E87" i="49"/>
  <c r="E80" i="49"/>
  <c r="E84" i="49"/>
  <c r="E82" i="49"/>
  <c r="E62" i="49"/>
  <c r="E118" i="49"/>
  <c r="E106" i="49"/>
  <c r="E16" i="49"/>
  <c r="E13" i="49"/>
  <c r="E25" i="49"/>
  <c r="E39" i="49"/>
  <c r="BB113" i="49"/>
  <c r="R31" i="43"/>
  <c r="R226" i="43"/>
  <c r="R10" i="43"/>
  <c r="R23" i="43"/>
  <c r="R85" i="43"/>
  <c r="R40" i="43"/>
  <c r="R58" i="43"/>
  <c r="Q30" i="49"/>
  <c r="Q99" i="49"/>
  <c r="Q49" i="49"/>
  <c r="Q118" i="49"/>
  <c r="Q68" i="49"/>
  <c r="Q18" i="49"/>
  <c r="Q123" i="49"/>
  <c r="Q73" i="49"/>
  <c r="Q59" i="49"/>
  <c r="Q9" i="49"/>
  <c r="Q114" i="49"/>
  <c r="Q7" i="49"/>
  <c r="Q14" i="49"/>
  <c r="Q65" i="49"/>
  <c r="Q33" i="49"/>
  <c r="E90" i="49"/>
  <c r="E47" i="49"/>
  <c r="E109" i="49"/>
  <c r="E108" i="49"/>
  <c r="E122" i="49"/>
  <c r="E121" i="49"/>
  <c r="E36" i="49"/>
  <c r="E125" i="49"/>
  <c r="E26" i="49"/>
  <c r="E123" i="49"/>
  <c r="E63" i="49"/>
  <c r="E93" i="49"/>
  <c r="E57" i="49"/>
  <c r="E70" i="49"/>
  <c r="E27" i="49"/>
  <c r="BB57" i="49"/>
  <c r="R160" i="43"/>
  <c r="R231" i="43"/>
  <c r="R214" i="43"/>
  <c r="R167" i="43"/>
  <c r="R139" i="43"/>
  <c r="R228" i="43"/>
  <c r="R46" i="43"/>
  <c r="Q113" i="49"/>
  <c r="Q72" i="49"/>
  <c r="Q13" i="49"/>
  <c r="Q82" i="49"/>
  <c r="Q119" i="49"/>
  <c r="Q121" i="49"/>
  <c r="Q96" i="49"/>
  <c r="Q10" i="49"/>
  <c r="Q32" i="49"/>
  <c r="Q95" i="49"/>
  <c r="Q78" i="49"/>
  <c r="Q83" i="49"/>
  <c r="Q97" i="49"/>
  <c r="Q56" i="49"/>
  <c r="Q116" i="49"/>
  <c r="E51" i="49"/>
  <c r="E115" i="49"/>
  <c r="E46" i="49"/>
  <c r="E35" i="49"/>
  <c r="E60" i="49"/>
  <c r="E76" i="49"/>
  <c r="E19" i="49"/>
  <c r="E91" i="49"/>
  <c r="E116" i="49"/>
  <c r="E40" i="49"/>
  <c r="E96" i="49"/>
  <c r="E72" i="49"/>
  <c r="E69" i="49"/>
  <c r="E33" i="49"/>
  <c r="E119" i="49"/>
  <c r="BB3" i="49"/>
  <c r="R107" i="43"/>
  <c r="R165" i="43"/>
  <c r="R60" i="43"/>
  <c r="R170" i="43"/>
  <c r="R15" i="43"/>
  <c r="R35" i="43"/>
  <c r="R215" i="43"/>
  <c r="R96" i="43"/>
  <c r="Q77" i="49"/>
  <c r="Q27" i="49"/>
  <c r="Q111" i="49"/>
  <c r="Q28" i="49"/>
  <c r="Q115" i="49"/>
  <c r="Q20" i="49"/>
  <c r="Q51" i="49"/>
  <c r="Q71" i="49"/>
  <c r="Q106" i="49"/>
  <c r="Q101" i="49"/>
  <c r="Q42" i="49"/>
  <c r="Q19" i="49"/>
  <c r="Q61" i="49"/>
  <c r="Q92" i="49"/>
  <c r="Q103" i="49"/>
  <c r="E101" i="49"/>
  <c r="E8" i="49"/>
  <c r="E43" i="49"/>
  <c r="E81" i="49"/>
  <c r="E56" i="49"/>
  <c r="E74" i="49"/>
  <c r="E111" i="49"/>
  <c r="E71" i="49"/>
  <c r="E66" i="49"/>
  <c r="E100" i="49"/>
  <c r="E29" i="49"/>
  <c r="E34" i="49"/>
  <c r="E37" i="49"/>
  <c r="F130" i="30" a="1"/>
  <c r="F130" i="30" s="1"/>
  <c r="F139" i="30" s="1"/>
  <c r="T91" i="47"/>
  <c r="J8" i="48"/>
  <c r="E4" i="24"/>
  <c r="E7" i="24"/>
  <c r="AY78" i="49"/>
  <c r="AY30" i="49"/>
  <c r="AY107" i="49"/>
  <c r="AY9" i="49"/>
  <c r="AY27" i="49"/>
  <c r="AY36" i="49"/>
  <c r="AY98" i="49"/>
  <c r="AY124" i="49"/>
  <c r="AY82" i="49"/>
  <c r="AY64" i="49"/>
  <c r="AY84" i="49"/>
  <c r="AY112" i="49"/>
  <c r="AY12" i="49"/>
  <c r="AY48" i="49"/>
  <c r="AY23" i="49"/>
  <c r="AK44" i="49"/>
  <c r="AK25" i="49"/>
  <c r="AK27" i="49"/>
  <c r="AK11" i="49"/>
  <c r="AK62" i="49"/>
  <c r="AK16" i="49"/>
  <c r="AK33" i="49"/>
  <c r="AK119" i="49"/>
  <c r="AK120" i="49"/>
  <c r="AK36" i="49"/>
  <c r="AK9" i="49"/>
  <c r="AK85" i="49"/>
  <c r="AK73" i="49"/>
  <c r="AK97" i="49"/>
  <c r="AK96" i="49"/>
  <c r="BA13" i="49"/>
  <c r="BA56" i="49"/>
  <c r="BA29" i="49"/>
  <c r="BA75" i="49"/>
  <c r="BA76" i="49"/>
  <c r="BA11" i="49"/>
  <c r="BA70" i="49"/>
  <c r="BA36" i="49"/>
  <c r="BA94" i="49"/>
  <c r="BA100" i="49"/>
  <c r="BA125" i="49"/>
  <c r="BA42" i="49"/>
  <c r="BA14" i="49"/>
  <c r="BA18" i="49"/>
  <c r="BA9" i="49"/>
  <c r="AH93" i="49"/>
  <c r="AH69" i="49"/>
  <c r="AH98" i="49"/>
  <c r="AH43" i="49"/>
  <c r="AH4" i="49"/>
  <c r="AH58" i="49"/>
  <c r="AH44" i="49"/>
  <c r="AH62" i="49"/>
  <c r="AH12" i="49"/>
  <c r="AH42" i="49"/>
  <c r="AH92" i="49"/>
  <c r="AH19" i="49"/>
  <c r="AH34" i="49"/>
  <c r="AH51" i="49"/>
  <c r="AH50" i="49"/>
  <c r="AK139" i="47"/>
  <c r="AK80" i="47"/>
  <c r="AK209" i="47"/>
  <c r="AK64" i="47"/>
  <c r="T118" i="47"/>
  <c r="T279" i="47"/>
  <c r="AY57" i="49"/>
  <c r="AY54" i="49"/>
  <c r="AY26" i="49"/>
  <c r="AY46" i="49"/>
  <c r="AY114" i="49"/>
  <c r="AY15" i="49"/>
  <c r="AY40" i="49"/>
  <c r="AY109" i="49"/>
  <c r="AY33" i="49"/>
  <c r="AY24" i="49"/>
  <c r="AY125" i="49"/>
  <c r="AY43" i="49"/>
  <c r="AY66" i="49"/>
  <c r="AY81" i="49"/>
  <c r="AY53" i="49"/>
  <c r="AK105" i="49"/>
  <c r="AK94" i="49"/>
  <c r="AK104" i="49"/>
  <c r="AK79" i="49"/>
  <c r="AK26" i="49"/>
  <c r="AK63" i="49"/>
  <c r="AK71" i="49"/>
  <c r="AK81" i="49"/>
  <c r="AK117" i="49"/>
  <c r="AK39" i="49"/>
  <c r="AK31" i="49"/>
  <c r="AK65" i="49"/>
  <c r="AK42" i="49"/>
  <c r="AK41" i="49"/>
  <c r="AK91" i="49"/>
  <c r="BA88" i="49"/>
  <c r="BA83" i="49"/>
  <c r="BA110" i="49"/>
  <c r="BA81" i="49"/>
  <c r="BA107" i="49"/>
  <c r="BA122" i="49"/>
  <c r="BA47" i="49"/>
  <c r="BA108" i="49"/>
  <c r="BA112" i="49"/>
  <c r="BA52" i="49"/>
  <c r="BA97" i="49"/>
  <c r="BA8" i="49"/>
  <c r="BA34" i="49"/>
  <c r="BA5" i="49"/>
  <c r="BA38" i="49"/>
  <c r="AH57" i="49"/>
  <c r="AH70" i="49"/>
  <c r="AH11" i="49"/>
  <c r="AH36" i="49"/>
  <c r="AH75" i="49"/>
  <c r="AH63" i="49"/>
  <c r="AH38" i="49"/>
  <c r="AH82" i="49"/>
  <c r="AH66" i="49"/>
  <c r="AH89" i="49"/>
  <c r="AH21" i="49"/>
  <c r="AH124" i="49"/>
  <c r="AH87" i="49"/>
  <c r="AH32" i="49"/>
  <c r="AH14" i="49"/>
  <c r="AH120" i="49"/>
  <c r="AK12" i="47"/>
  <c r="AK257" i="47"/>
  <c r="AK49" i="47"/>
  <c r="AK204" i="47"/>
  <c r="E10" i="24"/>
  <c r="E9" i="24"/>
  <c r="AY89" i="49"/>
  <c r="AY118" i="49"/>
  <c r="AY17" i="49"/>
  <c r="AY68" i="49"/>
  <c r="AY96" i="49"/>
  <c r="AY119" i="49"/>
  <c r="AY79" i="49"/>
  <c r="AY115" i="49"/>
  <c r="AY19" i="49"/>
  <c r="AY110" i="49"/>
  <c r="AY120" i="49"/>
  <c r="AY71" i="49"/>
  <c r="AY25" i="49"/>
  <c r="AY95" i="49"/>
  <c r="AY51" i="49"/>
  <c r="E8" i="50"/>
  <c r="AK123" i="49"/>
  <c r="AK99" i="49"/>
  <c r="AK38" i="49"/>
  <c r="AK45" i="49"/>
  <c r="AK72" i="49"/>
  <c r="AK29" i="49"/>
  <c r="AK90" i="49"/>
  <c r="AK6" i="49"/>
  <c r="AK13" i="49"/>
  <c r="AK68" i="49"/>
  <c r="AK95" i="49"/>
  <c r="AK22" i="49"/>
  <c r="AK54" i="49"/>
  <c r="AK77" i="49"/>
  <c r="AK30" i="49"/>
  <c r="BA106" i="49"/>
  <c r="BA44" i="49"/>
  <c r="BA40" i="49"/>
  <c r="BA53" i="49"/>
  <c r="BA60" i="49"/>
  <c r="BA121" i="49"/>
  <c r="BA85" i="49"/>
  <c r="BA95" i="49"/>
  <c r="BA111" i="49"/>
  <c r="BA66" i="49"/>
  <c r="BA55" i="49"/>
  <c r="BA92" i="49"/>
  <c r="BA50" i="49"/>
  <c r="BA24" i="49"/>
  <c r="BA103" i="49"/>
  <c r="AH107" i="49"/>
  <c r="AH84" i="49"/>
  <c r="AH78" i="49"/>
  <c r="AH13" i="49"/>
  <c r="AH77" i="49"/>
  <c r="AH45" i="49"/>
  <c r="AH74" i="49"/>
  <c r="AH112" i="49"/>
  <c r="AH97" i="49"/>
  <c r="AH101" i="49"/>
  <c r="AH53" i="49"/>
  <c r="AH88" i="49"/>
  <c r="AH47" i="49"/>
  <c r="AH121" i="49"/>
  <c r="AH41" i="49"/>
  <c r="AH23" i="49"/>
  <c r="AK190" i="47"/>
  <c r="AK75" i="47"/>
  <c r="AK232" i="47"/>
  <c r="AK278" i="47"/>
  <c r="CP42" i="7"/>
  <c r="AY8" i="49"/>
  <c r="AY59" i="49"/>
  <c r="AY52" i="49"/>
  <c r="AY7" i="49"/>
  <c r="AY37" i="49"/>
  <c r="AY70" i="49"/>
  <c r="AK21" i="49"/>
  <c r="AK109" i="49"/>
  <c r="AK4" i="49"/>
  <c r="AK108" i="49"/>
  <c r="AK121" i="49"/>
  <c r="AK114" i="49"/>
  <c r="AK118" i="49"/>
  <c r="AK67" i="49"/>
  <c r="AK5" i="49"/>
  <c r="AK47" i="49"/>
  <c r="AK83" i="49"/>
  <c r="AK14" i="49"/>
  <c r="AK17" i="49"/>
  <c r="AK113" i="49"/>
  <c r="AK115" i="49"/>
  <c r="AK12" i="49"/>
  <c r="BA33" i="49"/>
  <c r="BA113" i="49"/>
  <c r="BA22" i="49"/>
  <c r="BA41" i="49"/>
  <c r="BA57" i="49"/>
  <c r="BA32" i="49"/>
  <c r="BA98" i="49"/>
  <c r="BA43" i="49"/>
  <c r="BA27" i="49"/>
  <c r="BA64" i="49"/>
  <c r="BA21" i="49"/>
  <c r="BA17" i="49"/>
  <c r="BA120" i="49"/>
  <c r="BA80" i="49"/>
  <c r="BA12" i="49"/>
  <c r="AH99" i="49"/>
  <c r="AH95" i="49"/>
  <c r="AH20" i="49"/>
  <c r="AH119" i="49"/>
  <c r="AH65" i="49"/>
  <c r="AH94" i="49"/>
  <c r="AH104" i="49"/>
  <c r="AH22" i="49"/>
  <c r="AH31" i="49"/>
  <c r="AH52" i="49"/>
  <c r="AH86" i="49"/>
  <c r="AH27" i="49"/>
  <c r="AH106" i="49"/>
  <c r="AH49" i="49"/>
  <c r="AH60" i="49"/>
  <c r="AK181" i="47"/>
  <c r="AK277" i="47"/>
  <c r="AK48" i="47"/>
  <c r="AK244" i="47"/>
  <c r="T57" i="47"/>
  <c r="DF31" i="7"/>
  <c r="DH31" i="7" s="1"/>
  <c r="AY31" i="49"/>
  <c r="AY83" i="49"/>
  <c r="AY108" i="49"/>
  <c r="AY58" i="49"/>
  <c r="AY55" i="49"/>
  <c r="AY45" i="49"/>
  <c r="AY92" i="49"/>
  <c r="AY62" i="49"/>
  <c r="AY87" i="49"/>
  <c r="AY3" i="49"/>
  <c r="AY94" i="49"/>
  <c r="AY103" i="49"/>
  <c r="AY41" i="49"/>
  <c r="AY91" i="49"/>
  <c r="AY11" i="49"/>
  <c r="AY80" i="49"/>
  <c r="AY106" i="49"/>
  <c r="AY13" i="49"/>
  <c r="AY69" i="49"/>
  <c r="AY86" i="49"/>
  <c r="AY76" i="49"/>
  <c r="AY102" i="49"/>
  <c r="AY63" i="49"/>
  <c r="AY99" i="49"/>
  <c r="AY50" i="49"/>
  <c r="AK98" i="49"/>
  <c r="AK8" i="49"/>
  <c r="AK106" i="49"/>
  <c r="AK15" i="49"/>
  <c r="AK82" i="49"/>
  <c r="AK49" i="49"/>
  <c r="AK23" i="49"/>
  <c r="AK125" i="49"/>
  <c r="AK51" i="49"/>
  <c r="AK112" i="49"/>
  <c r="AK111" i="49"/>
  <c r="AK19" i="49"/>
  <c r="AK66" i="49"/>
  <c r="AK75" i="49"/>
  <c r="AK69" i="49"/>
  <c r="AK88" i="49"/>
  <c r="BA123" i="49"/>
  <c r="BA48" i="49"/>
  <c r="BA68" i="49"/>
  <c r="BA58" i="49"/>
  <c r="BA114" i="49"/>
  <c r="BA59" i="49"/>
  <c r="BA93" i="49"/>
  <c r="BA115" i="49"/>
  <c r="BA118" i="49"/>
  <c r="BA45" i="49"/>
  <c r="BA37" i="49"/>
  <c r="BA62" i="49"/>
  <c r="BA72" i="49"/>
  <c r="BA87" i="49"/>
  <c r="BA84" i="49"/>
  <c r="AH7" i="49"/>
  <c r="AH59" i="49"/>
  <c r="AH25" i="49"/>
  <c r="AH40" i="49"/>
  <c r="AH90" i="49"/>
  <c r="AH114" i="49"/>
  <c r="AH67" i="49"/>
  <c r="AH28" i="49"/>
  <c r="AH24" i="49"/>
  <c r="AH6" i="49"/>
  <c r="AH100" i="49"/>
  <c r="AH5" i="49"/>
  <c r="AH96" i="49"/>
  <c r="AH8" i="49"/>
  <c r="AH56" i="49"/>
  <c r="AK20" i="47"/>
  <c r="AK212" i="47"/>
  <c r="AK7" i="47"/>
  <c r="AK38" i="47"/>
  <c r="T251" i="47"/>
  <c r="AY90" i="49"/>
  <c r="AY105" i="49"/>
  <c r="AY104" i="49"/>
  <c r="AY5" i="49"/>
  <c r="AY93" i="49"/>
  <c r="AY28" i="49"/>
  <c r="AY21" i="49"/>
  <c r="AY18" i="49"/>
  <c r="AY88" i="49"/>
  <c r="AY22" i="49"/>
  <c r="AY16" i="49"/>
  <c r="AY65" i="49"/>
  <c r="AY100" i="49"/>
  <c r="AY60" i="49"/>
  <c r="AK59" i="49"/>
  <c r="AK124" i="49"/>
  <c r="AK55" i="49"/>
  <c r="AK60" i="49"/>
  <c r="AK107" i="49"/>
  <c r="AK116" i="49"/>
  <c r="AK20" i="49"/>
  <c r="AK58" i="49"/>
  <c r="AK122" i="49"/>
  <c r="AK28" i="49"/>
  <c r="AK43" i="49"/>
  <c r="AK37" i="49"/>
  <c r="AK40" i="49"/>
  <c r="AK102" i="49"/>
  <c r="AK80" i="49"/>
  <c r="BA63" i="49"/>
  <c r="BA102" i="49"/>
  <c r="BA99" i="49"/>
  <c r="BA119" i="49"/>
  <c r="BA77" i="49"/>
  <c r="BA39" i="49"/>
  <c r="BA86" i="49"/>
  <c r="BA71" i="49"/>
  <c r="BA16" i="49"/>
  <c r="BA96" i="49"/>
  <c r="BA65" i="49"/>
  <c r="BA69" i="49"/>
  <c r="BA61" i="49"/>
  <c r="BA105" i="49"/>
  <c r="BA35" i="49"/>
  <c r="AH91" i="49"/>
  <c r="AH110" i="49"/>
  <c r="AH17" i="49"/>
  <c r="AH61" i="49"/>
  <c r="AH71" i="49"/>
  <c r="AH9" i="49"/>
  <c r="AH125" i="49"/>
  <c r="AH15" i="49"/>
  <c r="AH103" i="49"/>
  <c r="AH115" i="49"/>
  <c r="AH123" i="49"/>
  <c r="AH55" i="49"/>
  <c r="AH46" i="49"/>
  <c r="AH116" i="49"/>
  <c r="AH80" i="49"/>
  <c r="AK6" i="47"/>
  <c r="AK267" i="47"/>
  <c r="AK5" i="47"/>
  <c r="AK262" i="47"/>
  <c r="AK59" i="47"/>
  <c r="BL34" i="2"/>
  <c r="D15" i="5" s="1"/>
  <c r="E15" i="5" s="1"/>
  <c r="AY113" i="49"/>
  <c r="AY67" i="49"/>
  <c r="AY56" i="49"/>
  <c r="AY61" i="49"/>
  <c r="AY111" i="49"/>
  <c r="AY74" i="49"/>
  <c r="AY42" i="49"/>
  <c r="AY123" i="49"/>
  <c r="AY34" i="49"/>
  <c r="AY122" i="49"/>
  <c r="AY101" i="49"/>
  <c r="AY39" i="49"/>
  <c r="AY73" i="49"/>
  <c r="AY14" i="49"/>
  <c r="AY77" i="49"/>
  <c r="AY29" i="49"/>
  <c r="AY97" i="49"/>
  <c r="AK48" i="49"/>
  <c r="AK56" i="49"/>
  <c r="AK35" i="49"/>
  <c r="AK52" i="49"/>
  <c r="AK70" i="49"/>
  <c r="AK24" i="49"/>
  <c r="AK100" i="49"/>
  <c r="AK76" i="49"/>
  <c r="AK18" i="49"/>
  <c r="AK46" i="49"/>
  <c r="AK86" i="49"/>
  <c r="AK57" i="49"/>
  <c r="AK84" i="49"/>
  <c r="AK74" i="49"/>
  <c r="AK32" i="49"/>
  <c r="BA117" i="49"/>
  <c r="BA7" i="49"/>
  <c r="BA23" i="49"/>
  <c r="BA73" i="49"/>
  <c r="BA109" i="49"/>
  <c r="BA74" i="49"/>
  <c r="BA10" i="49"/>
  <c r="BA101" i="49"/>
  <c r="BA54" i="49"/>
  <c r="BA79" i="49"/>
  <c r="BA124" i="49"/>
  <c r="BA19" i="49"/>
  <c r="BA20" i="49"/>
  <c r="BA31" i="49"/>
  <c r="BA82" i="49"/>
  <c r="AH118" i="49"/>
  <c r="AH72" i="49"/>
  <c r="AH81" i="49"/>
  <c r="AH33" i="49"/>
  <c r="AH102" i="49"/>
  <c r="AH85" i="49"/>
  <c r="AH26" i="49"/>
  <c r="AH117" i="49"/>
  <c r="AH109" i="49"/>
  <c r="AH122" i="49"/>
  <c r="AH48" i="49"/>
  <c r="AH105" i="49"/>
  <c r="AH73" i="49"/>
  <c r="AH83" i="49"/>
  <c r="AH39" i="49"/>
  <c r="AK103" i="47"/>
  <c r="AK197" i="47"/>
  <c r="AK82" i="47"/>
  <c r="AK33" i="47"/>
  <c r="AK25" i="47"/>
  <c r="BA3" i="49"/>
  <c r="T59" i="47"/>
  <c r="T6" i="47"/>
  <c r="T203" i="47"/>
  <c r="T50" i="47"/>
  <c r="T67" i="47"/>
  <c r="BV20" i="2"/>
  <c r="BW20" i="2" s="1"/>
  <c r="T132" i="47"/>
  <c r="T94" i="47"/>
  <c r="AK213" i="47"/>
  <c r="AK34" i="47"/>
  <c r="AK178" i="47"/>
  <c r="AK84" i="47"/>
  <c r="AK279" i="47"/>
  <c r="AK226" i="47"/>
  <c r="AK36" i="47"/>
  <c r="AK193" i="47"/>
  <c r="AK180" i="47"/>
  <c r="AK51" i="47"/>
  <c r="AK147" i="47"/>
  <c r="AK280" i="47"/>
  <c r="AK199" i="47"/>
  <c r="AK252" i="47"/>
  <c r="AK222" i="47"/>
  <c r="AK129" i="47"/>
  <c r="AK73" i="47"/>
  <c r="AK194" i="47"/>
  <c r="AK119" i="47"/>
  <c r="AK109" i="47"/>
  <c r="AK258" i="47"/>
  <c r="AK221" i="47"/>
  <c r="AK274" i="47"/>
  <c r="AK106" i="47"/>
  <c r="AK63" i="47"/>
  <c r="AK150" i="47"/>
  <c r="AK104" i="47"/>
  <c r="AK89" i="47"/>
  <c r="AK42" i="47"/>
  <c r="AK28" i="47"/>
  <c r="AK271" i="47"/>
  <c r="AK144" i="47"/>
  <c r="AK166" i="47"/>
  <c r="AK251" i="47"/>
  <c r="AK169" i="47"/>
  <c r="AK50" i="47"/>
  <c r="AK120" i="47"/>
  <c r="AK43" i="47"/>
  <c r="AK105" i="47"/>
  <c r="AK143" i="47"/>
  <c r="AK189" i="47"/>
  <c r="AK94" i="47"/>
  <c r="AK273" i="47"/>
  <c r="AK237" i="47"/>
  <c r="AK223" i="47"/>
  <c r="AK9" i="47"/>
  <c r="AK78" i="47"/>
  <c r="AK230" i="47"/>
  <c r="AK210" i="47"/>
  <c r="AK176" i="47"/>
  <c r="AK91" i="47"/>
  <c r="AK173" i="47"/>
  <c r="AK68" i="47"/>
  <c r="AK156" i="47"/>
  <c r="AK270" i="47"/>
  <c r="AK263" i="47"/>
  <c r="AK183" i="47"/>
  <c r="AK149" i="47"/>
  <c r="AK126" i="47"/>
  <c r="AK233" i="47"/>
  <c r="AK74" i="47"/>
  <c r="AK99" i="47"/>
  <c r="AK70" i="47"/>
  <c r="AK269" i="47"/>
  <c r="AK185" i="47"/>
  <c r="AK142" i="47"/>
  <c r="AK206" i="47"/>
  <c r="AK16" i="47"/>
  <c r="AK165" i="47"/>
  <c r="AK32" i="47"/>
  <c r="AK259" i="47"/>
  <c r="AK250" i="47"/>
  <c r="AK175" i="47"/>
  <c r="AK60" i="47"/>
  <c r="AK27" i="47"/>
  <c r="AK239" i="47"/>
  <c r="AK96" i="47"/>
  <c r="AK66" i="47"/>
  <c r="AK248" i="47"/>
  <c r="AK224" i="47"/>
  <c r="AK47" i="47"/>
  <c r="AK229" i="47"/>
  <c r="AK116" i="47"/>
  <c r="AK123" i="47"/>
  <c r="AK118" i="47"/>
  <c r="AK164" i="47"/>
  <c r="AK200" i="47"/>
  <c r="AK115" i="47"/>
  <c r="AK158" i="47"/>
  <c r="AK148" i="47"/>
  <c r="AK133" i="47"/>
  <c r="AK260" i="47"/>
  <c r="AK157" i="47"/>
  <c r="AK112" i="47"/>
  <c r="AK208" i="47"/>
  <c r="AK134" i="47"/>
  <c r="AK192" i="47"/>
  <c r="AK218" i="47"/>
  <c r="AK21" i="47"/>
  <c r="AK172" i="47"/>
  <c r="AK79" i="47"/>
  <c r="AK128" i="47"/>
  <c r="AK117" i="47"/>
  <c r="AK40" i="47"/>
  <c r="AK162" i="47"/>
  <c r="K9" i="45"/>
  <c r="K11" i="45" s="1"/>
  <c r="AK170" i="47"/>
  <c r="AK93" i="47"/>
  <c r="AK254" i="47"/>
  <c r="AK4" i="47"/>
  <c r="AK110" i="47"/>
  <c r="AK10" i="47"/>
  <c r="AK217" i="47"/>
  <c r="AK121" i="47"/>
  <c r="AK155" i="47"/>
  <c r="AK159" i="47"/>
  <c r="AK46" i="47"/>
  <c r="AK52" i="47"/>
  <c r="AK153" i="47"/>
  <c r="AK44" i="47"/>
  <c r="AK138" i="47"/>
  <c r="AK231" i="47"/>
  <c r="AK53" i="47"/>
  <c r="AK111" i="47"/>
  <c r="AK77" i="47"/>
  <c r="AK26" i="47"/>
  <c r="AK8" i="47"/>
  <c r="AK125" i="47"/>
  <c r="AK151" i="47"/>
  <c r="AK186" i="47"/>
  <c r="AK85" i="47"/>
  <c r="AK29" i="47"/>
  <c r="AK19" i="47"/>
  <c r="AK211" i="47"/>
  <c r="AK196" i="47"/>
  <c r="AK13" i="47"/>
  <c r="AK17" i="47"/>
  <c r="AK255" i="47"/>
  <c r="AK37" i="47"/>
  <c r="AK163" i="47"/>
  <c r="AK131" i="47"/>
  <c r="AK154" i="47"/>
  <c r="AK62" i="47"/>
  <c r="AK236" i="47"/>
  <c r="AK57" i="47"/>
  <c r="AK174" i="47"/>
  <c r="AK15" i="47"/>
  <c r="AK220" i="47"/>
  <c r="AK207" i="47"/>
  <c r="AK191" i="47"/>
  <c r="AK69" i="47"/>
  <c r="AK256" i="47"/>
  <c r="AK167" i="47"/>
  <c r="AK266" i="47"/>
  <c r="AK30" i="47"/>
  <c r="AK67" i="47"/>
  <c r="AK101" i="47"/>
  <c r="AK261" i="47"/>
  <c r="AK31" i="47"/>
  <c r="AK249" i="47"/>
  <c r="AK14" i="47"/>
  <c r="AK179" i="47"/>
  <c r="AK184" i="47"/>
  <c r="AK127" i="47"/>
  <c r="AK225" i="47"/>
  <c r="AK58" i="47"/>
  <c r="AK195" i="47"/>
  <c r="AK241" i="47"/>
  <c r="AK145" i="47"/>
  <c r="AK35" i="47"/>
  <c r="AK247" i="47"/>
  <c r="AK22" i="47"/>
  <c r="AK235" i="47"/>
  <c r="AK264" i="47"/>
  <c r="AK86" i="47"/>
  <c r="AK243" i="47"/>
  <c r="AK113" i="47"/>
  <c r="AK215" i="47"/>
  <c r="AK56" i="47"/>
  <c r="AK227" i="47"/>
  <c r="AK216" i="47"/>
  <c r="AK228" i="47"/>
  <c r="AK137" i="47"/>
  <c r="AK107" i="47"/>
  <c r="AK87" i="47"/>
  <c r="AK72" i="47"/>
  <c r="AK234" i="47"/>
  <c r="AK198" i="47"/>
  <c r="AK76" i="47"/>
  <c r="AK135" i="47"/>
  <c r="AK152" i="47"/>
  <c r="AK45" i="47"/>
  <c r="AK219" i="47"/>
  <c r="AK253" i="47"/>
  <c r="AK98" i="47"/>
  <c r="AK108" i="47"/>
  <c r="AK141" i="47"/>
  <c r="AK92" i="47"/>
  <c r="AK246" i="47"/>
  <c r="AK130" i="47"/>
  <c r="AK65" i="47"/>
  <c r="AK276" i="47"/>
  <c r="AK95" i="47"/>
  <c r="AK102" i="47"/>
  <c r="AK136" i="47"/>
  <c r="AK55" i="47"/>
  <c r="AK238" i="47"/>
  <c r="AK39" i="47"/>
  <c r="AK240" i="47"/>
  <c r="AK205" i="47"/>
  <c r="AK201" i="47"/>
  <c r="AK11" i="47"/>
  <c r="AK242" i="47"/>
  <c r="AK97" i="47"/>
  <c r="AK81" i="47"/>
  <c r="AK177" i="47"/>
  <c r="AK187" i="47"/>
  <c r="AK83" i="47"/>
  <c r="AK71" i="47"/>
  <c r="AK171" i="47"/>
  <c r="AK114" i="47"/>
  <c r="AK161" i="47"/>
  <c r="AK202" i="47"/>
  <c r="AK182" i="47"/>
  <c r="AK214" i="47"/>
  <c r="AK41" i="47"/>
  <c r="AK188" i="47"/>
  <c r="AK61" i="47"/>
  <c r="AK23" i="47"/>
  <c r="AK132" i="47"/>
  <c r="AK146" i="47"/>
  <c r="AK88" i="47"/>
  <c r="AK24" i="47"/>
  <c r="AK54" i="47"/>
  <c r="AK18" i="47"/>
  <c r="AK100" i="47"/>
  <c r="AK275" i="47"/>
  <c r="AK140" i="47"/>
  <c r="AK265" i="47"/>
  <c r="AK160" i="47"/>
  <c r="AK90" i="47"/>
  <c r="AK168" i="47"/>
  <c r="AK268" i="47"/>
  <c r="AK122" i="47"/>
  <c r="G128" i="34" a="1"/>
  <c r="G128" i="34" s="1"/>
  <c r="G130" i="34" s="1"/>
  <c r="G132" i="34" s="1"/>
  <c r="F138" i="34" s="1"/>
  <c r="F143" i="34" s="1"/>
  <c r="C20" i="35" s="1"/>
  <c r="S44" i="49"/>
  <c r="S61" i="49"/>
  <c r="S87" i="49"/>
  <c r="S96" i="49"/>
  <c r="S34" i="49"/>
  <c r="S106" i="49"/>
  <c r="S4" i="49"/>
  <c r="S81" i="49"/>
  <c r="S12" i="49"/>
  <c r="S86" i="49"/>
  <c r="S72" i="49"/>
  <c r="S22" i="49"/>
  <c r="S117" i="49"/>
  <c r="B21" i="47"/>
  <c r="B66" i="47"/>
  <c r="B93" i="47"/>
  <c r="B255" i="47"/>
  <c r="B64" i="47"/>
  <c r="B111" i="47"/>
  <c r="B155" i="47"/>
  <c r="B161" i="47"/>
  <c r="AZ31" i="49"/>
  <c r="AZ61" i="49"/>
  <c r="BB123" i="49"/>
  <c r="BB19" i="49"/>
  <c r="V16" i="49"/>
  <c r="V76" i="49"/>
  <c r="S24" i="49"/>
  <c r="S21" i="49"/>
  <c r="S111" i="49"/>
  <c r="S78" i="49"/>
  <c r="S45" i="49"/>
  <c r="S73" i="49"/>
  <c r="S53" i="49"/>
  <c r="S77" i="49"/>
  <c r="S65" i="49"/>
  <c r="S88" i="49"/>
  <c r="S50" i="49"/>
  <c r="S10" i="49"/>
  <c r="S31" i="49"/>
  <c r="BB114" i="49"/>
  <c r="BB22" i="49"/>
  <c r="V119" i="49"/>
  <c r="V91" i="49"/>
  <c r="S103" i="49"/>
  <c r="S113" i="49"/>
  <c r="S40" i="49"/>
  <c r="S9" i="49"/>
  <c r="S84" i="49"/>
  <c r="S55" i="49"/>
  <c r="S123" i="49"/>
  <c r="S36" i="49"/>
  <c r="S100" i="49"/>
  <c r="S92" i="49"/>
  <c r="S75" i="49"/>
  <c r="S122" i="49"/>
  <c r="S16" i="49"/>
  <c r="AZ105" i="49"/>
  <c r="AZ36" i="49"/>
  <c r="AZ66" i="49"/>
  <c r="BB122" i="49"/>
  <c r="BB76" i="49"/>
  <c r="V75" i="49"/>
  <c r="V49" i="49"/>
  <c r="S6" i="49"/>
  <c r="S90" i="49"/>
  <c r="S7" i="49"/>
  <c r="S99" i="49"/>
  <c r="S59" i="49"/>
  <c r="S108" i="49"/>
  <c r="S29" i="49"/>
  <c r="S41" i="49"/>
  <c r="S62" i="49"/>
  <c r="S95" i="49"/>
  <c r="S42" i="49"/>
  <c r="AZ39" i="49"/>
  <c r="AZ38" i="49"/>
  <c r="AZ6" i="49"/>
  <c r="AZ49" i="49"/>
  <c r="BB23" i="49"/>
  <c r="BB21" i="49"/>
  <c r="V58" i="49"/>
  <c r="V30" i="49"/>
  <c r="S67" i="49"/>
  <c r="S76" i="49"/>
  <c r="S33" i="49"/>
  <c r="S104" i="49"/>
  <c r="S82" i="49"/>
  <c r="S17" i="49"/>
  <c r="S125" i="49"/>
  <c r="S93" i="49"/>
  <c r="S57" i="49"/>
  <c r="S118" i="49"/>
  <c r="S102" i="49"/>
  <c r="S71" i="49"/>
  <c r="S79" i="49"/>
  <c r="S46" i="49"/>
  <c r="B58" i="47"/>
  <c r="B96" i="47"/>
  <c r="B162" i="47"/>
  <c r="B179" i="47"/>
  <c r="B273" i="47"/>
  <c r="B216" i="47"/>
  <c r="B20" i="47"/>
  <c r="B134" i="47"/>
  <c r="AZ67" i="49"/>
  <c r="AZ82" i="49"/>
  <c r="AZ85" i="49"/>
  <c r="BB85" i="49"/>
  <c r="V74" i="49"/>
  <c r="BB4" i="49"/>
  <c r="BB92" i="49"/>
  <c r="BB58" i="49"/>
  <c r="BB59" i="49"/>
  <c r="BB101" i="49"/>
  <c r="BB42" i="49"/>
  <c r="BB36" i="49"/>
  <c r="BB120" i="49"/>
  <c r="BB75" i="49"/>
  <c r="BB121" i="49"/>
  <c r="BB51" i="49"/>
  <c r="BB95" i="49"/>
  <c r="BB102" i="49"/>
  <c r="BB39" i="49"/>
  <c r="BB14" i="49"/>
  <c r="BB32" i="49"/>
  <c r="BB15" i="49"/>
  <c r="BB27" i="49"/>
  <c r="BB67" i="49"/>
  <c r="BB34" i="49"/>
  <c r="BB71" i="49"/>
  <c r="BB119" i="49"/>
  <c r="BB54" i="49"/>
  <c r="BB70" i="49"/>
  <c r="BB112" i="49"/>
  <c r="BB31" i="49"/>
  <c r="BB68" i="49"/>
  <c r="BB52" i="49"/>
  <c r="BB111" i="49"/>
  <c r="BB44" i="49"/>
  <c r="BB12" i="49"/>
  <c r="BB9" i="49"/>
  <c r="BB87" i="49"/>
  <c r="BB79" i="49"/>
  <c r="BB38" i="49"/>
  <c r="BB86" i="49"/>
  <c r="BB116" i="49"/>
  <c r="BB82" i="49"/>
  <c r="BB10" i="49"/>
  <c r="BB91" i="49"/>
  <c r="BB25" i="49"/>
  <c r="BB41" i="49"/>
  <c r="BB105" i="49"/>
  <c r="BB28" i="49"/>
  <c r="BB96" i="49"/>
  <c r="BB94" i="49"/>
  <c r="BB103" i="49"/>
  <c r="BB46" i="49"/>
  <c r="BB108" i="49"/>
  <c r="BB18" i="49"/>
  <c r="BB40" i="49"/>
  <c r="BB83" i="49"/>
  <c r="BB109" i="49"/>
  <c r="BB124" i="49"/>
  <c r="BB100" i="49"/>
  <c r="BB50" i="49"/>
  <c r="BB107" i="49"/>
  <c r="BB16" i="49"/>
  <c r="BB7" i="49"/>
  <c r="BB73" i="49"/>
  <c r="BB66" i="49"/>
  <c r="BB106" i="49"/>
  <c r="BB37" i="49"/>
  <c r="BB125" i="49"/>
  <c r="BB53" i="49"/>
  <c r="BB72" i="49"/>
  <c r="BB90" i="49"/>
  <c r="BB49" i="49"/>
  <c r="BB56" i="49"/>
  <c r="BB98" i="49"/>
  <c r="BB55" i="49"/>
  <c r="BB11" i="49"/>
  <c r="BB81" i="49"/>
  <c r="BB64" i="49"/>
  <c r="BB93" i="49"/>
  <c r="BB43" i="49"/>
  <c r="BB26" i="49"/>
  <c r="BB20" i="49"/>
  <c r="BB61" i="49"/>
  <c r="BB17" i="49"/>
  <c r="BB110" i="49"/>
  <c r="BB48" i="49"/>
  <c r="BB69" i="49"/>
  <c r="BB74" i="49"/>
  <c r="BB80" i="49"/>
  <c r="BB97" i="49"/>
  <c r="BB6" i="49"/>
  <c r="BB117" i="49"/>
  <c r="BB84" i="49"/>
  <c r="BB77" i="49"/>
  <c r="BB33" i="49"/>
  <c r="BB30" i="49"/>
  <c r="BB104" i="49"/>
  <c r="BB47" i="49"/>
  <c r="BB65" i="49"/>
  <c r="BB35" i="49"/>
  <c r="BB115" i="49"/>
  <c r="BB63" i="49"/>
  <c r="BB29" i="49"/>
  <c r="BB8" i="49"/>
  <c r="BB45" i="49"/>
  <c r="BB62" i="49"/>
  <c r="BB24" i="49"/>
  <c r="BB89" i="49"/>
  <c r="BB78" i="49"/>
  <c r="BB60" i="49"/>
  <c r="BB118" i="49"/>
  <c r="V3" i="49"/>
  <c r="V79" i="49"/>
  <c r="V45" i="49"/>
  <c r="V32" i="49"/>
  <c r="V69" i="49"/>
  <c r="V70" i="49"/>
  <c r="V28" i="49"/>
  <c r="V121" i="49"/>
  <c r="V33" i="49"/>
  <c r="V113" i="49"/>
  <c r="V99" i="49"/>
  <c r="V55" i="49"/>
  <c r="V6" i="49"/>
  <c r="V57" i="49"/>
  <c r="V96" i="49"/>
  <c r="V17" i="49"/>
  <c r="V124" i="49"/>
  <c r="V4" i="49"/>
  <c r="V107" i="49"/>
  <c r="V111" i="49"/>
  <c r="V122" i="49"/>
  <c r="V81" i="49"/>
  <c r="V21" i="49"/>
  <c r="V12" i="49"/>
  <c r="V109" i="49"/>
  <c r="V114" i="49"/>
  <c r="V101" i="49"/>
  <c r="V9" i="49"/>
  <c r="V56" i="49"/>
  <c r="V65" i="49"/>
  <c r="V51" i="49"/>
  <c r="V18" i="49"/>
  <c r="V77" i="49"/>
  <c r="V82" i="49"/>
  <c r="V31" i="49"/>
  <c r="V72" i="49"/>
  <c r="V71" i="49"/>
  <c r="V15" i="49"/>
  <c r="V100" i="49"/>
  <c r="V94" i="49"/>
  <c r="V43" i="49"/>
  <c r="V39" i="49"/>
  <c r="V60" i="49"/>
  <c r="V46" i="49"/>
  <c r="V120" i="49"/>
  <c r="V125" i="49"/>
  <c r="V10" i="49"/>
  <c r="V38" i="49"/>
  <c r="V112" i="49"/>
  <c r="V102" i="49"/>
  <c r="V42" i="49"/>
  <c r="V11" i="49"/>
  <c r="V83" i="49"/>
  <c r="V23" i="49"/>
  <c r="V34" i="49"/>
  <c r="V29" i="49"/>
  <c r="V52" i="49"/>
  <c r="V54" i="49"/>
  <c r="V68" i="49"/>
  <c r="V117" i="49"/>
  <c r="V89" i="49"/>
  <c r="V97" i="49"/>
  <c r="V90" i="49"/>
  <c r="V22" i="49"/>
  <c r="V36" i="49"/>
  <c r="V95" i="49"/>
  <c r="V25" i="49"/>
  <c r="V24" i="49"/>
  <c r="V88" i="49"/>
  <c r="V41" i="49"/>
  <c r="V35" i="49"/>
  <c r="V47" i="49"/>
  <c r="V118" i="49"/>
  <c r="V84" i="49"/>
  <c r="V61" i="49"/>
  <c r="V116" i="49"/>
  <c r="V92" i="49"/>
  <c r="V110" i="49"/>
  <c r="V106" i="49"/>
  <c r="V63" i="49"/>
  <c r="V27" i="49"/>
  <c r="V53" i="49"/>
  <c r="V48" i="49"/>
  <c r="V66" i="49"/>
  <c r="V40" i="49"/>
  <c r="V98" i="49"/>
  <c r="V93" i="49"/>
  <c r="V8" i="49"/>
  <c r="V103" i="49"/>
  <c r="V19" i="49"/>
  <c r="V62" i="49"/>
  <c r="V87" i="49"/>
  <c r="V44" i="49"/>
  <c r="V86" i="49"/>
  <c r="V108" i="49"/>
  <c r="V115" i="49"/>
  <c r="V105" i="49"/>
  <c r="V20" i="49"/>
  <c r="V78" i="49"/>
  <c r="V67" i="49"/>
  <c r="V50" i="49"/>
  <c r="V37" i="49"/>
  <c r="V64" i="49"/>
  <c r="V59" i="49"/>
  <c r="V14" i="49"/>
  <c r="V13" i="49"/>
  <c r="V7" i="49"/>
  <c r="B5" i="47"/>
  <c r="B148" i="47"/>
  <c r="B184" i="47"/>
  <c r="B169" i="47"/>
  <c r="B253" i="47"/>
  <c r="B35" i="47"/>
  <c r="B146" i="47"/>
  <c r="B48" i="47"/>
  <c r="B131" i="47"/>
  <c r="B270" i="47"/>
  <c r="B82" i="47"/>
  <c r="B42" i="47"/>
  <c r="B192" i="47"/>
  <c r="B263" i="47"/>
  <c r="B199" i="47"/>
  <c r="B197" i="47"/>
  <c r="B22" i="47"/>
  <c r="B156" i="47"/>
  <c r="B245" i="47"/>
  <c r="B217" i="47"/>
  <c r="B31" i="47"/>
  <c r="B130" i="47"/>
  <c r="B54" i="47"/>
  <c r="B43" i="47"/>
  <c r="B227" i="47"/>
  <c r="B105" i="47"/>
  <c r="B51" i="47"/>
  <c r="B232" i="47"/>
  <c r="B102" i="47"/>
  <c r="B45" i="47"/>
  <c r="B275" i="47"/>
  <c r="B231" i="47"/>
  <c r="B49" i="47"/>
  <c r="B139" i="47"/>
  <c r="B177" i="47"/>
  <c r="B6" i="47"/>
  <c r="B4" i="47"/>
  <c r="B133" i="47"/>
  <c r="B84" i="47"/>
  <c r="B225" i="47"/>
  <c r="B110" i="47"/>
  <c r="B41" i="47"/>
  <c r="B276" i="47"/>
  <c r="B237" i="47"/>
  <c r="B69" i="47"/>
  <c r="B222" i="47"/>
  <c r="B97" i="47"/>
  <c r="B39" i="47"/>
  <c r="B188" i="47"/>
  <c r="B249" i="47"/>
  <c r="B157" i="47"/>
  <c r="B201" i="47"/>
  <c r="B247" i="47"/>
  <c r="B236" i="47"/>
  <c r="B260" i="47"/>
  <c r="B218" i="47"/>
  <c r="B129" i="47"/>
  <c r="B107" i="47"/>
  <c r="B101" i="47"/>
  <c r="B158" i="47"/>
  <c r="B120" i="47"/>
  <c r="B125" i="47"/>
  <c r="B44" i="47"/>
  <c r="B209" i="47"/>
  <c r="B223" i="47"/>
  <c r="B195" i="47"/>
  <c r="B70" i="47"/>
  <c r="B152" i="47"/>
  <c r="B37" i="47"/>
  <c r="B159" i="47"/>
  <c r="B65" i="47"/>
  <c r="B279" i="47"/>
  <c r="B194" i="47"/>
  <c r="B118" i="47"/>
  <c r="B27" i="47"/>
  <c r="B89" i="47"/>
  <c r="B268" i="47"/>
  <c r="B186" i="47"/>
  <c r="B78" i="47"/>
  <c r="B138" i="47"/>
  <c r="B103" i="47"/>
  <c r="B212" i="47"/>
  <c r="B100" i="47"/>
  <c r="B149" i="47"/>
  <c r="B23" i="47"/>
  <c r="B16" i="47"/>
  <c r="B52" i="47"/>
  <c r="B104" i="47"/>
  <c r="B280" i="47"/>
  <c r="B219" i="47"/>
  <c r="B210" i="47"/>
  <c r="B238" i="47"/>
  <c r="B38" i="47"/>
  <c r="B191" i="47"/>
  <c r="B53" i="47"/>
  <c r="B88" i="47"/>
  <c r="B114" i="47"/>
  <c r="B15" i="47"/>
  <c r="B122" i="47"/>
  <c r="B259" i="47"/>
  <c r="B190" i="47"/>
  <c r="B246" i="47"/>
  <c r="B147" i="47"/>
  <c r="B193" i="47"/>
  <c r="B224" i="47"/>
  <c r="B251" i="47"/>
  <c r="B59" i="47"/>
  <c r="B8" i="47"/>
  <c r="B117" i="47"/>
  <c r="B40" i="47"/>
  <c r="B230" i="47"/>
  <c r="B57" i="47"/>
  <c r="B181" i="47"/>
  <c r="B92" i="47"/>
  <c r="B79" i="47"/>
  <c r="B185" i="47"/>
  <c r="B174" i="47"/>
  <c r="B182" i="47"/>
  <c r="B178" i="47"/>
  <c r="B200" i="47"/>
  <c r="B76" i="47"/>
  <c r="B80" i="47"/>
  <c r="B73" i="47"/>
  <c r="B98" i="47"/>
  <c r="B211" i="47"/>
  <c r="B99" i="47"/>
  <c r="B106" i="47"/>
  <c r="B10" i="47"/>
  <c r="B241" i="47"/>
  <c r="B24" i="47"/>
  <c r="B258" i="47"/>
  <c r="B244" i="47"/>
  <c r="B214" i="47"/>
  <c r="B63" i="47"/>
  <c r="B243" i="47"/>
  <c r="B175" i="47"/>
  <c r="B90" i="47"/>
  <c r="B262" i="47"/>
  <c r="B132" i="47"/>
  <c r="B25" i="47"/>
  <c r="B277" i="47"/>
  <c r="B68" i="47"/>
  <c r="B86" i="47"/>
  <c r="B256" i="47"/>
  <c r="B28" i="47"/>
  <c r="B173" i="47"/>
  <c r="B250" i="47"/>
  <c r="B143" i="47"/>
  <c r="B226" i="47"/>
  <c r="B144" i="47"/>
  <c r="B75" i="47"/>
  <c r="B113" i="47"/>
  <c r="B91" i="47"/>
  <c r="B36" i="47"/>
  <c r="B140" i="47"/>
  <c r="B163" i="47"/>
  <c r="B265" i="47"/>
  <c r="B124" i="47"/>
  <c r="B171" i="47"/>
  <c r="B203" i="47"/>
  <c r="B74" i="47"/>
  <c r="B13" i="47"/>
  <c r="B109" i="47"/>
  <c r="B257" i="47"/>
  <c r="B17" i="47"/>
  <c r="B26" i="47"/>
  <c r="B116" i="47"/>
  <c r="B137" i="47"/>
  <c r="B160" i="47"/>
  <c r="B135" i="47"/>
  <c r="B264" i="47"/>
  <c r="B141" i="47"/>
  <c r="B228" i="47"/>
  <c r="B126" i="47"/>
  <c r="B172" i="47"/>
  <c r="B207" i="47"/>
  <c r="B153" i="47"/>
  <c r="B248" i="47"/>
  <c r="B252" i="47"/>
  <c r="B266" i="47"/>
  <c r="B108" i="47"/>
  <c r="B239" i="47"/>
  <c r="B167" i="47"/>
  <c r="B176" i="47"/>
  <c r="B19" i="47"/>
  <c r="B278" i="47"/>
  <c r="B123" i="47"/>
  <c r="B206" i="47"/>
  <c r="B81" i="47"/>
  <c r="B205" i="47"/>
  <c r="B14" i="47"/>
  <c r="B187" i="47"/>
  <c r="B151" i="47"/>
  <c r="B240" i="47"/>
  <c r="B50" i="47"/>
  <c r="B83" i="47"/>
  <c r="B61" i="47"/>
  <c r="B77" i="47"/>
  <c r="B71" i="47"/>
  <c r="B29" i="47"/>
  <c r="B208" i="47"/>
  <c r="B183" i="47"/>
  <c r="B32" i="47"/>
  <c r="B46" i="47"/>
  <c r="B67" i="47"/>
  <c r="B234" i="47"/>
  <c r="B272" i="47"/>
  <c r="B115" i="47"/>
  <c r="B18" i="47"/>
  <c r="AZ4" i="49"/>
  <c r="AZ76" i="49"/>
  <c r="AZ75" i="49"/>
  <c r="AZ123" i="49"/>
  <c r="AZ21" i="49"/>
  <c r="AZ13" i="49"/>
  <c r="AZ92" i="49"/>
  <c r="AZ87" i="49"/>
  <c r="AZ17" i="49"/>
  <c r="AZ99" i="49"/>
  <c r="AZ111" i="49"/>
  <c r="AZ91" i="49"/>
  <c r="AZ93" i="49"/>
  <c r="AZ51" i="49"/>
  <c r="AZ64" i="49"/>
  <c r="AZ55" i="49"/>
  <c r="AZ79" i="49"/>
  <c r="AZ27" i="49"/>
  <c r="AZ78" i="49"/>
  <c r="AZ58" i="49"/>
  <c r="AZ56" i="49"/>
  <c r="AZ7" i="49"/>
  <c r="AZ54" i="49"/>
  <c r="AZ104" i="49"/>
  <c r="AZ57" i="49"/>
  <c r="AZ59" i="49"/>
  <c r="AZ24" i="49"/>
  <c r="AZ46" i="49"/>
  <c r="AZ48" i="49"/>
  <c r="AZ114" i="49"/>
  <c r="AZ102" i="49"/>
  <c r="AZ60" i="49"/>
  <c r="AZ98" i="49"/>
  <c r="AZ34" i="49"/>
  <c r="AZ32" i="49"/>
  <c r="AZ109" i="49"/>
  <c r="AZ40" i="49"/>
  <c r="AZ108" i="49"/>
  <c r="AZ122" i="49"/>
  <c r="AZ70" i="49"/>
  <c r="AZ81" i="49"/>
  <c r="AZ11" i="49"/>
  <c r="AZ95" i="49"/>
  <c r="AZ26" i="49"/>
  <c r="AZ33" i="49"/>
  <c r="AZ84" i="49"/>
  <c r="AZ124" i="49"/>
  <c r="AZ118" i="49"/>
  <c r="AZ29" i="49"/>
  <c r="AZ74" i="49"/>
  <c r="AZ72" i="49"/>
  <c r="AZ12" i="49"/>
  <c r="AZ63" i="49"/>
  <c r="AZ44" i="49"/>
  <c r="AZ73" i="49"/>
  <c r="AZ8" i="49"/>
  <c r="AZ90" i="49"/>
  <c r="AZ14" i="49"/>
  <c r="AZ116" i="49"/>
  <c r="AZ18" i="49"/>
  <c r="AZ28" i="49"/>
  <c r="AZ68" i="49"/>
  <c r="AZ71" i="49"/>
  <c r="AZ15" i="49"/>
  <c r="AZ20" i="49"/>
  <c r="AZ23" i="49"/>
  <c r="AZ119" i="49"/>
  <c r="AZ80" i="49"/>
  <c r="AZ50" i="49"/>
  <c r="AZ52" i="49"/>
  <c r="AZ45" i="49"/>
  <c r="AZ22" i="49"/>
  <c r="AZ107" i="49"/>
  <c r="AZ117" i="49"/>
  <c r="AZ77" i="49"/>
  <c r="AZ103" i="49"/>
  <c r="AZ41" i="49"/>
  <c r="AZ62" i="49"/>
  <c r="AZ37" i="49"/>
  <c r="AZ89" i="49"/>
  <c r="AZ96" i="49"/>
  <c r="AZ121" i="49"/>
  <c r="AZ16" i="49"/>
  <c r="AZ43" i="49"/>
  <c r="AZ83" i="49"/>
  <c r="AZ47" i="49"/>
  <c r="AZ9" i="49"/>
  <c r="AZ35" i="49"/>
  <c r="AZ112" i="49"/>
  <c r="AZ30" i="49"/>
  <c r="AZ42" i="49"/>
  <c r="S3" i="49"/>
  <c r="BV4" i="49" s="1"/>
  <c r="S91" i="49"/>
  <c r="S30" i="49"/>
  <c r="S39" i="49"/>
  <c r="S11" i="49"/>
  <c r="S28" i="49"/>
  <c r="S37" i="49"/>
  <c r="S97" i="49"/>
  <c r="S14" i="49"/>
  <c r="S54" i="49"/>
  <c r="S119" i="49"/>
  <c r="S115" i="49"/>
  <c r="S32" i="49"/>
  <c r="S20" i="49"/>
  <c r="S80" i="49"/>
  <c r="S116" i="49"/>
  <c r="S120" i="49"/>
  <c r="S110" i="49"/>
  <c r="S109" i="49"/>
  <c r="S85" i="49"/>
  <c r="S48" i="49"/>
  <c r="S47" i="49"/>
  <c r="S26" i="49"/>
  <c r="S70" i="49"/>
  <c r="S49" i="49"/>
  <c r="S8" i="49"/>
  <c r="S114" i="49"/>
  <c r="S15" i="49"/>
  <c r="S124" i="49"/>
  <c r="S107" i="49"/>
  <c r="B34" i="47"/>
  <c r="B62" i="47"/>
  <c r="B56" i="47"/>
  <c r="B180" i="47"/>
  <c r="B12" i="47"/>
  <c r="B166" i="47"/>
  <c r="B145" i="47"/>
  <c r="B47" i="47"/>
  <c r="B121" i="47"/>
  <c r="AZ115" i="49"/>
  <c r="AZ69" i="49"/>
  <c r="AZ120" i="49"/>
  <c r="AZ10" i="49"/>
  <c r="BB99" i="49"/>
  <c r="V26" i="49"/>
  <c r="V123" i="49"/>
  <c r="E9" i="50"/>
  <c r="K9" i="46"/>
  <c r="K11" i="46" s="1"/>
  <c r="AH152" i="47"/>
  <c r="AH182" i="47"/>
  <c r="AH61" i="47"/>
  <c r="AH83" i="47"/>
  <c r="AH29" i="47"/>
  <c r="AH10" i="47"/>
  <c r="AH279" i="47"/>
  <c r="AH87" i="47"/>
  <c r="AH236" i="47"/>
  <c r="AH276" i="47"/>
  <c r="AH50" i="47"/>
  <c r="AH73" i="47"/>
  <c r="AH218" i="47"/>
  <c r="AH27" i="47"/>
  <c r="AH111" i="47"/>
  <c r="AH90" i="47"/>
  <c r="AH22" i="47"/>
  <c r="AH252" i="47"/>
  <c r="AH205" i="47"/>
  <c r="T231" i="47"/>
  <c r="T40" i="47"/>
  <c r="AH180" i="47"/>
  <c r="AH162" i="47"/>
  <c r="AH199" i="47"/>
  <c r="AH185" i="47"/>
  <c r="AH48" i="47"/>
  <c r="AH62" i="47"/>
  <c r="AH250" i="47"/>
  <c r="AH166" i="47"/>
  <c r="AH171" i="47"/>
  <c r="AH17" i="47"/>
  <c r="AH33" i="47"/>
  <c r="AH53" i="47"/>
  <c r="AH113" i="47"/>
  <c r="AH261" i="47"/>
  <c r="AH240" i="47"/>
  <c r="AH271" i="47"/>
  <c r="AH54" i="47"/>
  <c r="AH125" i="47"/>
  <c r="AH244" i="47"/>
  <c r="AH117" i="47"/>
  <c r="AH30" i="47"/>
  <c r="AH145" i="47"/>
  <c r="AH86" i="47"/>
  <c r="AH56" i="47"/>
  <c r="AH156" i="47"/>
  <c r="AH128" i="47"/>
  <c r="AH191" i="47"/>
  <c r="AH242" i="47"/>
  <c r="AH16" i="47"/>
  <c r="AH184" i="47"/>
  <c r="AH72" i="47"/>
  <c r="AH155" i="47"/>
  <c r="AH209" i="47"/>
  <c r="AH147" i="47"/>
  <c r="AH60" i="47"/>
  <c r="AH214" i="47"/>
  <c r="AH105" i="47"/>
  <c r="AH138" i="47"/>
  <c r="AH94" i="47"/>
  <c r="AH231" i="47"/>
  <c r="AH239" i="47"/>
  <c r="AH259" i="47"/>
  <c r="AH190" i="47"/>
  <c r="AH36" i="47"/>
  <c r="AH273" i="47"/>
  <c r="AH253" i="47"/>
  <c r="AH51" i="47"/>
  <c r="AH34" i="47"/>
  <c r="AH31" i="47"/>
  <c r="AH38" i="47"/>
  <c r="AH14" i="47"/>
  <c r="AH41" i="47"/>
  <c r="AH109" i="47"/>
  <c r="AH100" i="47"/>
  <c r="AH161" i="47"/>
  <c r="AH230" i="47"/>
  <c r="AH223" i="47"/>
  <c r="AH255" i="47"/>
  <c r="AH137" i="47"/>
  <c r="AH186" i="47"/>
  <c r="AH165" i="47"/>
  <c r="AH122" i="47"/>
  <c r="AH233" i="47"/>
  <c r="AH267" i="47"/>
  <c r="AH220" i="47"/>
  <c r="AH82" i="47"/>
  <c r="AH71" i="47"/>
  <c r="AH203" i="47"/>
  <c r="AH207" i="47"/>
  <c r="AH204" i="47"/>
  <c r="AH268" i="47"/>
  <c r="AH12" i="47"/>
  <c r="AH132" i="47"/>
  <c r="AH121" i="47"/>
  <c r="AH9" i="47"/>
  <c r="AH102" i="47"/>
  <c r="AH148" i="47"/>
  <c r="AH249" i="47"/>
  <c r="AH112" i="47"/>
  <c r="AH158" i="47"/>
  <c r="AH202" i="47"/>
  <c r="AH277" i="47"/>
  <c r="AH92" i="47"/>
  <c r="AH64" i="47"/>
  <c r="AH254" i="47"/>
  <c r="AH196" i="47"/>
  <c r="AH6" i="47"/>
  <c r="AH221" i="47"/>
  <c r="AH246" i="47"/>
  <c r="AH68" i="47"/>
  <c r="AH18" i="47"/>
  <c r="AH76" i="47"/>
  <c r="AH241" i="47"/>
  <c r="AH8" i="47"/>
  <c r="AH116" i="47"/>
  <c r="AH21" i="47"/>
  <c r="AH114" i="47"/>
  <c r="AH79" i="47"/>
  <c r="AH216" i="47"/>
  <c r="AH141" i="47"/>
  <c r="AH229" i="47"/>
  <c r="AH245" i="47"/>
  <c r="AH146" i="47"/>
  <c r="AH24" i="47"/>
  <c r="AH106" i="47"/>
  <c r="AH78" i="47"/>
  <c r="AH189" i="47"/>
  <c r="AH67" i="47"/>
  <c r="AH25" i="47"/>
  <c r="AH77" i="47"/>
  <c r="AH167" i="47"/>
  <c r="AH96" i="47"/>
  <c r="AH256" i="47"/>
  <c r="AH20" i="47"/>
  <c r="AH172" i="47"/>
  <c r="AH235" i="47"/>
  <c r="AH107" i="47"/>
  <c r="AH133" i="47"/>
  <c r="AH144" i="47"/>
  <c r="AH44" i="47"/>
  <c r="AH98" i="47"/>
  <c r="AH135" i="47"/>
  <c r="AH93" i="47"/>
  <c r="AH120" i="47"/>
  <c r="AH243" i="47"/>
  <c r="AH13" i="47"/>
  <c r="AH176" i="47"/>
  <c r="AH4" i="47"/>
  <c r="AH160" i="47"/>
  <c r="AH127" i="47"/>
  <c r="AH63" i="47"/>
  <c r="AH80" i="47"/>
  <c r="AH260" i="47"/>
  <c r="AH115" i="47"/>
  <c r="AH75" i="47"/>
  <c r="AH140" i="47"/>
  <c r="AH170" i="47"/>
  <c r="AH228" i="47"/>
  <c r="AH179" i="47"/>
  <c r="AH247" i="47"/>
  <c r="AH234" i="47"/>
  <c r="AX4" i="49"/>
  <c r="AX73" i="49"/>
  <c r="AX116" i="49"/>
  <c r="AX71" i="49"/>
  <c r="AX105" i="49"/>
  <c r="AX106" i="49"/>
  <c r="AX43" i="49"/>
  <c r="AX101" i="49"/>
  <c r="AX30" i="49"/>
  <c r="AX32" i="49"/>
  <c r="AX62" i="49"/>
  <c r="AX88" i="49"/>
  <c r="AX95" i="49"/>
  <c r="AX112" i="49"/>
  <c r="AX47" i="49"/>
  <c r="AX72" i="49"/>
  <c r="AX64" i="49"/>
  <c r="AX66" i="49"/>
  <c r="AX91" i="49"/>
  <c r="AX96" i="49"/>
  <c r="AX69" i="49"/>
  <c r="AX119" i="49"/>
  <c r="AX121" i="49"/>
  <c r="AX49" i="49"/>
  <c r="AX59" i="49"/>
  <c r="AX86" i="49"/>
  <c r="AX33" i="49"/>
  <c r="AX114" i="49"/>
  <c r="AX37" i="49"/>
  <c r="AX117" i="49"/>
  <c r="AX104" i="49"/>
  <c r="AX124" i="49"/>
  <c r="AX22" i="49"/>
  <c r="AX113" i="49"/>
  <c r="AX107" i="49"/>
  <c r="AX108" i="49"/>
  <c r="AX31" i="49"/>
  <c r="AX16" i="49"/>
  <c r="AX70" i="49"/>
  <c r="AX83" i="49"/>
  <c r="AX53" i="49"/>
  <c r="AX74" i="49"/>
  <c r="AX77" i="49"/>
  <c r="AX85" i="49"/>
  <c r="AX98" i="49"/>
  <c r="AX102" i="49"/>
  <c r="AX63" i="49"/>
  <c r="AX9" i="49"/>
  <c r="AX51" i="49"/>
  <c r="AX18" i="49"/>
  <c r="AX80" i="49"/>
  <c r="AX76" i="49"/>
  <c r="AX123" i="49"/>
  <c r="AX23" i="49"/>
  <c r="AX54" i="49"/>
  <c r="AX122" i="49"/>
  <c r="AX21" i="49"/>
  <c r="AX97" i="49"/>
  <c r="AX79" i="49"/>
  <c r="AX93" i="49"/>
  <c r="AX38" i="49"/>
  <c r="AH168" i="47"/>
  <c r="AH265" i="47"/>
  <c r="AH130" i="47"/>
  <c r="AH32" i="47"/>
  <c r="AH37" i="47"/>
  <c r="AH134" i="47"/>
  <c r="AH66" i="47"/>
  <c r="AH43" i="47"/>
  <c r="AH280" i="47"/>
  <c r="AH226" i="47"/>
  <c r="AH42" i="47"/>
  <c r="AH197" i="47"/>
  <c r="AH206" i="47"/>
  <c r="AH193" i="47"/>
  <c r="AH178" i="47"/>
  <c r="AH157" i="47"/>
  <c r="AH104" i="47"/>
  <c r="AH200" i="47"/>
  <c r="AH15" i="47"/>
  <c r="AH149" i="47"/>
  <c r="AH123" i="47"/>
  <c r="AH213" i="47"/>
  <c r="T157" i="47"/>
  <c r="T206" i="47"/>
  <c r="AH174" i="47"/>
  <c r="D237" i="47"/>
  <c r="D13" i="47"/>
  <c r="D120" i="47"/>
  <c r="D211" i="47"/>
  <c r="D37" i="47"/>
  <c r="D133" i="47"/>
  <c r="D39" i="47"/>
  <c r="D89" i="47"/>
  <c r="D57" i="47"/>
  <c r="D69" i="47"/>
  <c r="D192" i="47"/>
  <c r="D75" i="47"/>
  <c r="D73" i="47"/>
  <c r="D171" i="47"/>
  <c r="D241" i="47"/>
  <c r="D242" i="47"/>
  <c r="D204" i="47"/>
  <c r="D235" i="47"/>
  <c r="D239" i="47"/>
  <c r="D106" i="47"/>
  <c r="D105" i="47"/>
  <c r="D175" i="47"/>
  <c r="D24" i="47"/>
  <c r="D47" i="47"/>
  <c r="D257" i="47"/>
  <c r="D152" i="47"/>
  <c r="D223" i="47"/>
  <c r="D172" i="47"/>
  <c r="D83" i="47"/>
  <c r="D161" i="47"/>
  <c r="D249" i="47"/>
  <c r="D162" i="47"/>
  <c r="D88" i="47"/>
  <c r="D63" i="47"/>
  <c r="D65" i="47"/>
  <c r="D70" i="47"/>
  <c r="D219" i="47"/>
  <c r="D60" i="47"/>
  <c r="D238" i="47"/>
  <c r="D232" i="47"/>
  <c r="D159" i="47"/>
  <c r="D271" i="47"/>
  <c r="D100" i="47"/>
  <c r="D67" i="47"/>
  <c r="D58" i="47"/>
  <c r="D191" i="47"/>
  <c r="D97" i="47"/>
  <c r="D85" i="47"/>
  <c r="D134" i="47"/>
  <c r="D279" i="47"/>
  <c r="D25" i="47"/>
  <c r="D10" i="47"/>
  <c r="D48" i="47"/>
  <c r="D114" i="47"/>
  <c r="D19" i="47"/>
  <c r="D157" i="47"/>
  <c r="D199" i="47"/>
  <c r="D144" i="47"/>
  <c r="D96" i="47"/>
  <c r="D55" i="47"/>
  <c r="D252" i="47"/>
  <c r="D165" i="47"/>
  <c r="D190" i="47"/>
  <c r="D136" i="47"/>
  <c r="D268" i="47"/>
  <c r="D146" i="47"/>
  <c r="D128" i="47"/>
  <c r="D184" i="47"/>
  <c r="D30" i="47"/>
  <c r="D203" i="47"/>
  <c r="D82" i="47"/>
  <c r="D27" i="47"/>
  <c r="D111" i="47"/>
  <c r="D101" i="47"/>
  <c r="D220" i="47"/>
  <c r="D273" i="47"/>
  <c r="D269" i="47"/>
  <c r="D79" i="47"/>
  <c r="D272" i="47"/>
  <c r="D32" i="47"/>
  <c r="D276" i="47"/>
  <c r="D91" i="47"/>
  <c r="D188" i="47"/>
  <c r="D265" i="47"/>
  <c r="D181" i="47"/>
  <c r="D258" i="47"/>
  <c r="D51" i="47"/>
  <c r="D231" i="47"/>
  <c r="D266" i="47"/>
  <c r="D153" i="47"/>
  <c r="D20" i="47"/>
  <c r="D195" i="47"/>
  <c r="D103" i="47"/>
  <c r="D31" i="47"/>
  <c r="D129" i="47"/>
  <c r="D213" i="47"/>
  <c r="D15" i="47"/>
  <c r="D46" i="47"/>
  <c r="D77" i="47"/>
  <c r="D189" i="47"/>
  <c r="D108" i="47"/>
  <c r="D112" i="47"/>
  <c r="D71" i="47"/>
  <c r="D36" i="47"/>
  <c r="D81" i="47"/>
  <c r="D230" i="47"/>
  <c r="D143" i="47"/>
  <c r="D102" i="47"/>
  <c r="D64" i="47"/>
  <c r="D277" i="47"/>
  <c r="D174" i="47"/>
  <c r="D52" i="47"/>
  <c r="D109" i="47"/>
  <c r="D170" i="47"/>
  <c r="D138" i="47"/>
  <c r="D17" i="47"/>
  <c r="D200" i="47"/>
  <c r="D164" i="47"/>
  <c r="D90" i="47"/>
  <c r="D94" i="47"/>
  <c r="D135" i="47"/>
  <c r="D127" i="47"/>
  <c r="D158" i="47"/>
  <c r="D250" i="47"/>
  <c r="D222" i="47"/>
  <c r="D9" i="47"/>
  <c r="D140" i="47"/>
  <c r="D68" i="47"/>
  <c r="D260" i="47"/>
  <c r="D142" i="47"/>
  <c r="D145" i="47"/>
  <c r="D121" i="47"/>
  <c r="D150" i="47"/>
  <c r="D166" i="47"/>
  <c r="D236" i="47"/>
  <c r="D216" i="47"/>
  <c r="D255" i="47"/>
  <c r="D18" i="47"/>
  <c r="D151" i="47"/>
  <c r="D210" i="47"/>
  <c r="D244" i="47"/>
  <c r="D80" i="47"/>
  <c r="D208" i="47"/>
  <c r="D116" i="47"/>
  <c r="D139" i="47"/>
  <c r="D186" i="47"/>
  <c r="D8" i="47"/>
  <c r="D41" i="47"/>
  <c r="D117" i="47"/>
  <c r="D233" i="47"/>
  <c r="D224" i="47"/>
  <c r="D201" i="47"/>
  <c r="D148" i="47"/>
  <c r="D56" i="47"/>
  <c r="D228" i="47"/>
  <c r="D12" i="47"/>
  <c r="D107" i="47"/>
  <c r="D256" i="47"/>
  <c r="D113" i="47"/>
  <c r="D38" i="47"/>
  <c r="D234" i="47"/>
  <c r="D160" i="47"/>
  <c r="D93" i="47"/>
  <c r="D132" i="47"/>
  <c r="D280" i="47"/>
  <c r="D217" i="47"/>
  <c r="D214" i="47"/>
  <c r="D53" i="47"/>
  <c r="D149" i="47"/>
  <c r="D270" i="47"/>
  <c r="D221" i="47"/>
  <c r="D44" i="47"/>
  <c r="D196" i="47"/>
  <c r="D187" i="47"/>
  <c r="D21" i="47"/>
  <c r="D185" i="47"/>
  <c r="D264" i="47"/>
  <c r="D243" i="47"/>
  <c r="D251" i="47"/>
  <c r="D115" i="47"/>
  <c r="D125" i="47"/>
  <c r="D16" i="47"/>
  <c r="D209" i="47"/>
  <c r="D33" i="47"/>
  <c r="D147" i="47"/>
  <c r="D23" i="47"/>
  <c r="D245" i="47"/>
  <c r="D173" i="47"/>
  <c r="D178" i="47"/>
  <c r="D278" i="47"/>
  <c r="D99" i="47"/>
  <c r="D59" i="47"/>
  <c r="D198" i="47"/>
  <c r="D197" i="47"/>
  <c r="D247" i="47"/>
  <c r="D50" i="47"/>
  <c r="D141" i="47"/>
  <c r="D76" i="47"/>
  <c r="D126" i="47"/>
  <c r="D246" i="47"/>
  <c r="D122" i="47"/>
  <c r="D86" i="47"/>
  <c r="D40" i="47"/>
  <c r="D179" i="47"/>
  <c r="D124" i="47"/>
  <c r="D254" i="47"/>
  <c r="AH183" i="47"/>
  <c r="AH88" i="47"/>
  <c r="AH217" i="47"/>
  <c r="AH118" i="47"/>
  <c r="AH264" i="47"/>
  <c r="AH95" i="47"/>
  <c r="AH257" i="47"/>
  <c r="AH49" i="47"/>
  <c r="AH26" i="47"/>
  <c r="AH65" i="47"/>
  <c r="AH7" i="47"/>
  <c r="AH85" i="47"/>
  <c r="AH57" i="47"/>
  <c r="AH192" i="47"/>
  <c r="AH23" i="47"/>
  <c r="AH70" i="47"/>
  <c r="AH47" i="47"/>
  <c r="AH258" i="47"/>
  <c r="AH195" i="47"/>
  <c r="AH248" i="47"/>
  <c r="P45" i="1"/>
  <c r="P44" i="1"/>
  <c r="T266" i="47"/>
  <c r="T244" i="47"/>
  <c r="T14" i="47"/>
  <c r="T63" i="47"/>
  <c r="T236" i="47"/>
  <c r="T28" i="47"/>
  <c r="T93" i="47"/>
  <c r="T156" i="47"/>
  <c r="T199" i="47"/>
  <c r="T237" i="47"/>
  <c r="T182" i="47"/>
  <c r="T174" i="47"/>
  <c r="T51" i="47"/>
  <c r="T213" i="47"/>
  <c r="T261" i="47"/>
  <c r="T179" i="47"/>
  <c r="T192" i="47"/>
  <c r="T75" i="47"/>
  <c r="T41" i="47"/>
  <c r="T269" i="47"/>
  <c r="T136" i="47"/>
  <c r="T119" i="47"/>
  <c r="T54" i="47"/>
  <c r="T95" i="47"/>
  <c r="T88" i="47"/>
  <c r="T143" i="47"/>
  <c r="T221" i="47"/>
  <c r="T263" i="47"/>
  <c r="T52" i="47"/>
  <c r="T155" i="47"/>
  <c r="T25" i="47"/>
  <c r="T104" i="47"/>
  <c r="T164" i="47"/>
  <c r="T13" i="47"/>
  <c r="T83" i="47"/>
  <c r="T165" i="47"/>
  <c r="T194" i="47"/>
  <c r="T116" i="47"/>
  <c r="T216" i="47"/>
  <c r="T26" i="47"/>
  <c r="T167" i="47"/>
  <c r="T202" i="47"/>
  <c r="T64" i="47"/>
  <c r="T275" i="47"/>
  <c r="T196" i="47"/>
  <c r="T252" i="47"/>
  <c r="T153" i="47"/>
  <c r="T128" i="47"/>
  <c r="T18" i="47"/>
  <c r="T9" i="47"/>
  <c r="T191" i="47"/>
  <c r="T8" i="47"/>
  <c r="T243" i="47"/>
  <c r="T232" i="47"/>
  <c r="T180" i="47"/>
  <c r="T183" i="47"/>
  <c r="T249" i="47"/>
  <c r="T102" i="47"/>
  <c r="T215" i="47"/>
  <c r="T189" i="47"/>
  <c r="T76" i="47"/>
  <c r="T121" i="47"/>
  <c r="T209" i="47"/>
  <c r="AJ21" i="49"/>
  <c r="AJ82" i="49"/>
  <c r="AJ3" i="49"/>
  <c r="AJ55" i="49"/>
  <c r="AJ117" i="49"/>
  <c r="AJ30" i="49"/>
  <c r="AJ42" i="49"/>
  <c r="AH142" i="47"/>
  <c r="AH69" i="47"/>
  <c r="AH119" i="47"/>
  <c r="AH201" i="47"/>
  <c r="AH154" i="47"/>
  <c r="AH232" i="47"/>
  <c r="AH210" i="47"/>
  <c r="AH266" i="47"/>
  <c r="AH188" i="47"/>
  <c r="AH175" i="47"/>
  <c r="AH181" i="47"/>
  <c r="AH269" i="47"/>
  <c r="AH101" i="47"/>
  <c r="AH97" i="47"/>
  <c r="AH129" i="47"/>
  <c r="AH131" i="47"/>
  <c r="AH89" i="47"/>
  <c r="P43" i="1"/>
  <c r="AH39" i="47"/>
  <c r="AH169" i="47"/>
  <c r="AH35" i="47"/>
  <c r="AH173" i="47"/>
  <c r="AH262" i="47"/>
  <c r="AH238" i="47"/>
  <c r="AH139" i="47"/>
  <c r="AH263" i="47"/>
  <c r="AH251" i="47"/>
  <c r="AH198" i="47"/>
  <c r="AH58" i="47"/>
  <c r="AH270" i="47"/>
  <c r="AH159" i="47"/>
  <c r="AH45" i="47"/>
  <c r="AH55" i="47"/>
  <c r="AH224" i="47"/>
  <c r="AH5" i="47"/>
  <c r="AH222" i="47"/>
  <c r="J132" i="38"/>
  <c r="AH126" i="47"/>
  <c r="AH52" i="47"/>
  <c r="AH227" i="47"/>
  <c r="AH11" i="47"/>
  <c r="AH194" i="47"/>
  <c r="AH103" i="47"/>
  <c r="AH19" i="47"/>
  <c r="AH225" i="47"/>
  <c r="AH74" i="47"/>
  <c r="AH40" i="47"/>
  <c r="AH84" i="47"/>
  <c r="AH212" i="47"/>
  <c r="AH187" i="47"/>
  <c r="AH108" i="47"/>
  <c r="AH151" i="47"/>
  <c r="AH124" i="47"/>
  <c r="AH211" i="47"/>
  <c r="AH59" i="47"/>
  <c r="F10" i="50"/>
  <c r="J10" i="50" s="1"/>
  <c r="K9" i="41"/>
  <c r="K11" i="41" s="1"/>
  <c r="BU24" i="2"/>
  <c r="BW24" i="2" s="1"/>
  <c r="BW30" i="2"/>
  <c r="BW23" i="2"/>
  <c r="DF36" i="7"/>
  <c r="DH36" i="7" s="1"/>
  <c r="DF32" i="7"/>
  <c r="DH32" i="7" s="1"/>
  <c r="AB66" i="7"/>
  <c r="DG27" i="7"/>
  <c r="DH27" i="7" s="1"/>
  <c r="AD4" i="42"/>
  <c r="A49" i="49"/>
  <c r="E48" i="47"/>
  <c r="T108" i="49"/>
  <c r="T59" i="49"/>
  <c r="A67" i="49"/>
  <c r="F176" i="47"/>
  <c r="A74" i="49"/>
  <c r="C40" i="49"/>
  <c r="C103" i="49"/>
  <c r="C108" i="49"/>
  <c r="C99" i="49"/>
  <c r="C124" i="49"/>
  <c r="C95" i="49"/>
  <c r="C48" i="49"/>
  <c r="C36" i="49"/>
  <c r="C14" i="49"/>
  <c r="C93" i="49"/>
  <c r="A26" i="49"/>
  <c r="A120" i="49"/>
  <c r="A18" i="49"/>
  <c r="A20" i="49"/>
  <c r="T81" i="49"/>
  <c r="E81" i="47"/>
  <c r="E35" i="47"/>
  <c r="E7" i="47"/>
  <c r="E253" i="47"/>
  <c r="E209" i="47"/>
  <c r="E229" i="47"/>
  <c r="E257" i="47"/>
  <c r="E91" i="47"/>
  <c r="E210" i="47"/>
  <c r="E41" i="47"/>
  <c r="E159" i="47"/>
  <c r="E33" i="47"/>
  <c r="E57" i="47"/>
  <c r="E241" i="47"/>
  <c r="E107" i="47"/>
  <c r="E142" i="47"/>
  <c r="E217" i="47"/>
  <c r="E132" i="47"/>
  <c r="E30" i="47"/>
  <c r="E271" i="47"/>
  <c r="E54" i="47"/>
  <c r="E77" i="47"/>
  <c r="E27" i="47"/>
  <c r="E279" i="47"/>
  <c r="E148" i="47"/>
  <c r="E37" i="47"/>
  <c r="E190" i="47"/>
  <c r="E196" i="47"/>
  <c r="E25" i="47"/>
  <c r="E163" i="47"/>
  <c r="E82" i="47"/>
  <c r="E89" i="47"/>
  <c r="E160" i="47"/>
  <c r="E226" i="47"/>
  <c r="E270" i="47"/>
  <c r="E124" i="47"/>
  <c r="E97" i="47"/>
  <c r="E134" i="47"/>
  <c r="E221" i="47"/>
  <c r="E109" i="47"/>
  <c r="E92" i="47"/>
  <c r="E207" i="47"/>
  <c r="E205" i="47"/>
  <c r="E277" i="47"/>
  <c r="E216" i="47"/>
  <c r="E172" i="47"/>
  <c r="E43" i="47"/>
  <c r="E174" i="47"/>
  <c r="E111" i="47"/>
  <c r="E262" i="47"/>
  <c r="E52" i="47"/>
  <c r="E101" i="47"/>
  <c r="E120" i="47"/>
  <c r="E236" i="47"/>
  <c r="E272" i="47"/>
  <c r="E113" i="47"/>
  <c r="E238" i="47"/>
  <c r="E197" i="47"/>
  <c r="E123" i="47"/>
  <c r="E72" i="47"/>
  <c r="E50" i="47"/>
  <c r="E16" i="47"/>
  <c r="E183" i="47"/>
  <c r="E73" i="47"/>
  <c r="E20" i="47"/>
  <c r="E84" i="47"/>
  <c r="E266" i="47"/>
  <c r="E112" i="47"/>
  <c r="E200" i="47"/>
  <c r="E40" i="47"/>
  <c r="E31" i="47"/>
  <c r="E259" i="47"/>
  <c r="E106" i="47"/>
  <c r="E66" i="47"/>
  <c r="E240" i="47"/>
  <c r="E118" i="47"/>
  <c r="E186" i="47"/>
  <c r="E185" i="47"/>
  <c r="E242" i="47"/>
  <c r="F91" i="47"/>
  <c r="F271" i="47"/>
  <c r="F52" i="47"/>
  <c r="F24" i="47"/>
  <c r="F58" i="47"/>
  <c r="F96" i="47"/>
  <c r="F63" i="47"/>
  <c r="F68" i="47"/>
  <c r="F39" i="47"/>
  <c r="F212" i="47"/>
  <c r="F105" i="47"/>
  <c r="F88" i="47"/>
  <c r="F261" i="47"/>
  <c r="F117" i="47"/>
  <c r="F280" i="47"/>
  <c r="F106" i="47"/>
  <c r="F73" i="47"/>
  <c r="F244" i="47"/>
  <c r="F46" i="47"/>
  <c r="F44" i="47"/>
  <c r="F30" i="47"/>
  <c r="F199" i="47"/>
  <c r="F274" i="47"/>
  <c r="F144" i="47"/>
  <c r="F186" i="47"/>
  <c r="F81" i="47"/>
  <c r="F157" i="47"/>
  <c r="F102" i="47"/>
  <c r="F45" i="47"/>
  <c r="F166" i="47"/>
  <c r="F198" i="47"/>
  <c r="F184" i="47"/>
  <c r="F213" i="47"/>
  <c r="F151" i="47"/>
  <c r="F74" i="47"/>
  <c r="F265" i="47"/>
  <c r="F134" i="47"/>
  <c r="F95" i="47"/>
  <c r="F130" i="47"/>
  <c r="F254" i="47"/>
  <c r="F255" i="47"/>
  <c r="F31" i="47"/>
  <c r="F29" i="47"/>
  <c r="F122" i="47"/>
  <c r="F217" i="47"/>
  <c r="F22" i="47"/>
  <c r="F218" i="47"/>
  <c r="F137" i="47"/>
  <c r="F113" i="47"/>
  <c r="F260" i="47"/>
  <c r="F156" i="47"/>
  <c r="F10" i="47"/>
  <c r="F155" i="47"/>
  <c r="F165" i="47"/>
  <c r="F57" i="47"/>
  <c r="F201" i="47"/>
  <c r="F228" i="47"/>
  <c r="F279" i="47"/>
  <c r="F64" i="47"/>
  <c r="F21" i="47"/>
  <c r="F225" i="47"/>
  <c r="F54" i="47"/>
  <c r="F118" i="47"/>
  <c r="F11" i="41"/>
  <c r="F13" i="41" s="1"/>
  <c r="F9" i="41" a="1"/>
  <c r="F9" i="41" s="1"/>
  <c r="T3" i="49"/>
  <c r="T20" i="49"/>
  <c r="T5" i="49"/>
  <c r="T60" i="49"/>
  <c r="T119" i="49"/>
  <c r="T79" i="49"/>
  <c r="T65" i="49"/>
  <c r="T89" i="49"/>
  <c r="T35" i="49"/>
  <c r="T99" i="49"/>
  <c r="T46" i="49"/>
  <c r="T80" i="49"/>
  <c r="T29" i="49"/>
  <c r="T95" i="49"/>
  <c r="T114" i="49"/>
  <c r="T91" i="49"/>
  <c r="T102" i="49"/>
  <c r="T30" i="49"/>
  <c r="T112" i="49"/>
  <c r="T13" i="49"/>
  <c r="T113" i="49"/>
  <c r="T37" i="49"/>
  <c r="T122" i="49"/>
  <c r="T115" i="49"/>
  <c r="T62" i="49"/>
  <c r="T32" i="49"/>
  <c r="T21" i="49"/>
  <c r="T31" i="49"/>
  <c r="T82" i="49"/>
  <c r="T125" i="49"/>
  <c r="T40" i="49"/>
  <c r="T83" i="49"/>
  <c r="T101" i="49"/>
  <c r="T17" i="49"/>
  <c r="T9" i="49"/>
  <c r="T26" i="49"/>
  <c r="T27" i="49"/>
  <c r="T90" i="49"/>
  <c r="T38" i="49"/>
  <c r="T70" i="49"/>
  <c r="T53" i="49"/>
  <c r="T118" i="49"/>
  <c r="T45" i="49"/>
  <c r="T73" i="49"/>
  <c r="T96" i="49"/>
  <c r="T18" i="49"/>
  <c r="T52" i="49"/>
  <c r="T71" i="49"/>
  <c r="T68" i="49"/>
  <c r="T56" i="49"/>
  <c r="T25" i="49"/>
  <c r="T124" i="49"/>
  <c r="T43" i="49"/>
  <c r="T48" i="49"/>
  <c r="T54" i="49"/>
  <c r="T98" i="49"/>
  <c r="T107" i="49"/>
  <c r="T12" i="49"/>
  <c r="T103" i="49"/>
  <c r="T14" i="49"/>
  <c r="T92" i="49"/>
  <c r="T85" i="49"/>
  <c r="T11" i="49"/>
  <c r="T110" i="49"/>
  <c r="T15" i="49"/>
  <c r="T97" i="49"/>
  <c r="T22" i="49"/>
  <c r="T106" i="49"/>
  <c r="T57" i="49"/>
  <c r="T51" i="49"/>
  <c r="T78" i="49"/>
  <c r="T36" i="49"/>
  <c r="T104" i="49"/>
  <c r="T69" i="49"/>
  <c r="T34" i="49"/>
  <c r="T77" i="49"/>
  <c r="T39" i="49"/>
  <c r="T75" i="49"/>
  <c r="T33" i="49"/>
  <c r="T49" i="49"/>
  <c r="T120" i="49"/>
  <c r="T58" i="49"/>
  <c r="T24" i="49"/>
  <c r="T76" i="49"/>
  <c r="T72" i="49"/>
  <c r="T66" i="49"/>
  <c r="T88" i="49"/>
  <c r="T121" i="49"/>
  <c r="T86" i="49"/>
  <c r="T117" i="49"/>
  <c r="T28" i="49"/>
  <c r="T55" i="49"/>
  <c r="T109" i="49"/>
  <c r="T105" i="49"/>
  <c r="T16" i="49"/>
  <c r="T44" i="49"/>
  <c r="T7" i="49"/>
  <c r="T93" i="49"/>
  <c r="T8" i="49"/>
  <c r="T63" i="49"/>
  <c r="T10" i="49"/>
  <c r="T74" i="49"/>
  <c r="T19" i="49"/>
  <c r="T94" i="49"/>
  <c r="T84" i="49"/>
  <c r="T23" i="49"/>
  <c r="T42" i="49"/>
  <c r="T41" i="49"/>
  <c r="E3" i="47"/>
  <c r="C44" i="49"/>
  <c r="C8" i="49"/>
  <c r="C67" i="49"/>
  <c r="C59" i="49"/>
  <c r="C111" i="49"/>
  <c r="C46" i="49"/>
  <c r="C10" i="49"/>
  <c r="C64" i="49"/>
  <c r="A41" i="49"/>
  <c r="A25" i="49"/>
  <c r="A52" i="49"/>
  <c r="A19" i="49"/>
  <c r="E213" i="47"/>
  <c r="E15" i="47"/>
  <c r="T4" i="49"/>
  <c r="T67" i="49"/>
  <c r="F214" i="47"/>
  <c r="A21" i="49"/>
  <c r="A105" i="49"/>
  <c r="A80" i="49"/>
  <c r="A24" i="49"/>
  <c r="E36" i="47"/>
  <c r="E62" i="47"/>
  <c r="T6" i="49"/>
  <c r="T50" i="49"/>
  <c r="F142" i="47"/>
  <c r="A118" i="49"/>
  <c r="A16" i="49"/>
  <c r="E45" i="47"/>
  <c r="E176" i="47"/>
  <c r="C17" i="49"/>
  <c r="C101" i="49"/>
  <c r="C89" i="49"/>
  <c r="C98" i="49"/>
  <c r="C50" i="49"/>
  <c r="C22" i="49"/>
  <c r="C35" i="49"/>
  <c r="C91" i="49"/>
  <c r="C39" i="49"/>
  <c r="C92" i="49"/>
  <c r="C56" i="49"/>
  <c r="C53" i="49"/>
  <c r="C88" i="49"/>
  <c r="C60" i="49"/>
  <c r="C123" i="49"/>
  <c r="C102" i="49"/>
  <c r="C107" i="49"/>
  <c r="C117" i="49"/>
  <c r="C47" i="49"/>
  <c r="C96" i="49"/>
  <c r="C66" i="49"/>
  <c r="C41" i="49"/>
  <c r="C30" i="49"/>
  <c r="C71" i="49"/>
  <c r="C57" i="49"/>
  <c r="C68" i="49"/>
  <c r="C33" i="49"/>
  <c r="C77" i="49"/>
  <c r="C82" i="49"/>
  <c r="C49" i="49"/>
  <c r="C70" i="49"/>
  <c r="C105" i="49"/>
  <c r="C32" i="49"/>
  <c r="C61" i="49"/>
  <c r="C76" i="49"/>
  <c r="C62" i="49"/>
  <c r="C25" i="49"/>
  <c r="C90" i="49"/>
  <c r="C83" i="49"/>
  <c r="C84" i="49"/>
  <c r="C78" i="49"/>
  <c r="C21" i="49"/>
  <c r="C65" i="49"/>
  <c r="C13" i="49"/>
  <c r="C38" i="49"/>
  <c r="T111" i="49"/>
  <c r="T116" i="49"/>
  <c r="F239" i="47"/>
  <c r="A4" i="49"/>
  <c r="A47" i="49"/>
  <c r="A8" i="49"/>
  <c r="A122" i="49"/>
  <c r="A55" i="49"/>
  <c r="A103" i="49"/>
  <c r="A97" i="49"/>
  <c r="A31" i="49"/>
  <c r="A114" i="49"/>
  <c r="A90" i="49"/>
  <c r="A66" i="49"/>
  <c r="A84" i="49"/>
  <c r="A101" i="49"/>
  <c r="A60" i="49"/>
  <c r="A81" i="49"/>
  <c r="A42" i="49"/>
  <c r="A106" i="49"/>
  <c r="A95" i="49"/>
  <c r="A48" i="49"/>
  <c r="A22" i="49"/>
  <c r="A40" i="49"/>
  <c r="A102" i="49"/>
  <c r="A83" i="49"/>
  <c r="A91" i="49"/>
  <c r="A14" i="49"/>
  <c r="A7" i="49"/>
  <c r="A12" i="49"/>
  <c r="A37" i="49"/>
  <c r="A56" i="49"/>
  <c r="A36" i="49"/>
  <c r="A119" i="49"/>
  <c r="A98" i="49"/>
  <c r="A17" i="49"/>
  <c r="A82" i="49"/>
  <c r="A110" i="49"/>
  <c r="A28" i="49"/>
  <c r="A29" i="49"/>
  <c r="A32" i="49"/>
  <c r="A93" i="49"/>
  <c r="A10" i="49"/>
  <c r="A33" i="49"/>
  <c r="A108" i="49"/>
  <c r="A100" i="49"/>
  <c r="A76" i="49"/>
  <c r="A65" i="49"/>
  <c r="A124" i="49"/>
  <c r="A112" i="49"/>
  <c r="A43" i="49"/>
  <c r="A87" i="49"/>
  <c r="A107" i="49"/>
  <c r="A75" i="49"/>
  <c r="A123" i="49"/>
  <c r="A77" i="49"/>
  <c r="A58" i="49"/>
  <c r="A35" i="49"/>
  <c r="A59" i="49"/>
  <c r="A57" i="49"/>
  <c r="A53" i="49"/>
  <c r="A85" i="49"/>
  <c r="A34" i="49"/>
  <c r="A121" i="49"/>
  <c r="A69" i="49"/>
  <c r="A86" i="49"/>
  <c r="A39" i="49"/>
  <c r="A45" i="49"/>
  <c r="A11" i="49"/>
  <c r="A38" i="49"/>
  <c r="A9" i="49"/>
  <c r="A94" i="49"/>
  <c r="A15" i="49"/>
  <c r="A116" i="49"/>
  <c r="A72" i="49"/>
  <c r="A61" i="49"/>
  <c r="A70" i="49"/>
  <c r="A62" i="49"/>
  <c r="A44" i="49"/>
  <c r="A96" i="49"/>
  <c r="A13" i="49"/>
  <c r="A104" i="49"/>
  <c r="A99" i="49"/>
  <c r="A54" i="49"/>
  <c r="A117" i="49"/>
  <c r="A23" i="49"/>
  <c r="A111" i="49"/>
  <c r="A27" i="49"/>
  <c r="A109" i="49"/>
  <c r="A71" i="49"/>
  <c r="A46" i="49"/>
  <c r="A68" i="49"/>
  <c r="A78" i="49"/>
  <c r="A3" i="49"/>
  <c r="C114" i="49"/>
  <c r="C121" i="49"/>
  <c r="C87" i="49"/>
  <c r="C72" i="49"/>
  <c r="C58" i="49"/>
  <c r="C100" i="49"/>
  <c r="C110" i="49"/>
  <c r="C26" i="49"/>
  <c r="C18" i="49"/>
  <c r="A51" i="49"/>
  <c r="A73" i="49"/>
  <c r="A113" i="49"/>
  <c r="E230" i="47"/>
  <c r="T47" i="49"/>
  <c r="T100" i="49"/>
  <c r="F208" i="47"/>
  <c r="AL3" i="49"/>
  <c r="AL123" i="49"/>
  <c r="AL92" i="49"/>
  <c r="AL94" i="49"/>
  <c r="AL73" i="49"/>
  <c r="AL109" i="49"/>
  <c r="AL53" i="49"/>
  <c r="AL15" i="49"/>
  <c r="AL18" i="49"/>
  <c r="AL102" i="49"/>
  <c r="AL39" i="49"/>
  <c r="AL23" i="49"/>
  <c r="AL116" i="49"/>
  <c r="AL103" i="49"/>
  <c r="AL86" i="49"/>
  <c r="AL68" i="49"/>
  <c r="AL51" i="49"/>
  <c r="AL35" i="49"/>
  <c r="AL114" i="49"/>
  <c r="AL101" i="49"/>
  <c r="AL41" i="49"/>
  <c r="AL107" i="49"/>
  <c r="AL38" i="49"/>
  <c r="AL47" i="49"/>
  <c r="AL118" i="49"/>
  <c r="AL96" i="49"/>
  <c r="AL120" i="49"/>
  <c r="AL11" i="49"/>
  <c r="AL80" i="49"/>
  <c r="AL62" i="49"/>
  <c r="AL83" i="49"/>
  <c r="AL124" i="49"/>
  <c r="AL60" i="49"/>
  <c r="AL48" i="49"/>
  <c r="AL88" i="49"/>
  <c r="AL93" i="49"/>
  <c r="AL20" i="49"/>
  <c r="AL37" i="49"/>
  <c r="AL111" i="49"/>
  <c r="AL75" i="49"/>
  <c r="AL76" i="49"/>
  <c r="AL90" i="49"/>
  <c r="AL70" i="49"/>
  <c r="AL104" i="49"/>
  <c r="AL40" i="49"/>
  <c r="AL65" i="49"/>
  <c r="AL10" i="49"/>
  <c r="AL108" i="49"/>
  <c r="AL25" i="49"/>
  <c r="AL57" i="49"/>
  <c r="AL52" i="49"/>
  <c r="AL84" i="49"/>
  <c r="AL91" i="49"/>
  <c r="AL64" i="49"/>
  <c r="AL27" i="49"/>
  <c r="AL66" i="49"/>
  <c r="AL26" i="49"/>
  <c r="AL106" i="49"/>
  <c r="AL34" i="49"/>
  <c r="AL110" i="49"/>
  <c r="AL43" i="49"/>
  <c r="AL56" i="49"/>
  <c r="AL14" i="49"/>
  <c r="AL87" i="49"/>
  <c r="AL32" i="49"/>
  <c r="AL6" i="49"/>
  <c r="AL125" i="49"/>
  <c r="AL4" i="49"/>
  <c r="AL28" i="49"/>
  <c r="AL7" i="49"/>
  <c r="AL115" i="49"/>
  <c r="AL8" i="49"/>
  <c r="AL105" i="49"/>
  <c r="AL54" i="49"/>
  <c r="AL17" i="49"/>
  <c r="AL95" i="49"/>
  <c r="AL42" i="49"/>
  <c r="AL97" i="49"/>
  <c r="AL5" i="49"/>
  <c r="AL61" i="49"/>
  <c r="AL9" i="49"/>
  <c r="AL71" i="49"/>
  <c r="AL55" i="49"/>
  <c r="AL58" i="49"/>
  <c r="AL49" i="49"/>
  <c r="AL79" i="49"/>
  <c r="AL100" i="49"/>
  <c r="AL113" i="49"/>
  <c r="AL98" i="49"/>
  <c r="AL22" i="49"/>
  <c r="AL69" i="49"/>
  <c r="AL50" i="49"/>
  <c r="AL77" i="49"/>
  <c r="AL117" i="49"/>
  <c r="AL13" i="49"/>
  <c r="AL31" i="49"/>
  <c r="AL119" i="49"/>
  <c r="AL59" i="49"/>
  <c r="AL21" i="49"/>
  <c r="AL85" i="49"/>
  <c r="AL33" i="49"/>
  <c r="AL99" i="49"/>
  <c r="AL29" i="49"/>
  <c r="AL122" i="49"/>
  <c r="AL12" i="49"/>
  <c r="AL19" i="49"/>
  <c r="AL78" i="49"/>
  <c r="AL63" i="49"/>
  <c r="A115" i="49"/>
  <c r="A30" i="49"/>
  <c r="A125" i="49"/>
  <c r="A63" i="49"/>
  <c r="E75" i="47"/>
  <c r="T64" i="49"/>
  <c r="J5" i="41"/>
  <c r="J11" i="41" s="1"/>
  <c r="A50" i="49"/>
  <c r="A92" i="49"/>
  <c r="A88" i="49"/>
  <c r="A79" i="49"/>
  <c r="E179" i="47"/>
  <c r="T87" i="49"/>
  <c r="T123" i="49"/>
  <c r="F169" i="47"/>
  <c r="AD12" i="42"/>
  <c r="B6" i="49"/>
  <c r="B4" i="49"/>
  <c r="B5" i="49"/>
  <c r="E12" i="50"/>
  <c r="J130" i="38"/>
  <c r="AD6" i="42"/>
  <c r="AD19" i="42"/>
  <c r="T65" i="43"/>
  <c r="T63" i="43"/>
  <c r="T24" i="43"/>
  <c r="T32" i="43"/>
  <c r="T59" i="43"/>
  <c r="T239" i="43"/>
  <c r="T57" i="43"/>
  <c r="T201" i="43"/>
  <c r="T20" i="43"/>
  <c r="T132" i="43"/>
  <c r="T121" i="43"/>
  <c r="T224" i="43"/>
  <c r="T237" i="43"/>
  <c r="T58" i="43"/>
  <c r="T25" i="43"/>
  <c r="T49" i="43"/>
  <c r="T223" i="43"/>
  <c r="T153" i="43"/>
  <c r="T78" i="43"/>
  <c r="T5" i="43"/>
  <c r="T152" i="43"/>
  <c r="T85" i="43"/>
  <c r="T155" i="43"/>
  <c r="T126" i="43"/>
  <c r="T185" i="43"/>
  <c r="T56" i="43"/>
  <c r="T167" i="43"/>
  <c r="T92" i="43"/>
  <c r="T156" i="43"/>
  <c r="T212" i="43"/>
  <c r="T81" i="43"/>
  <c r="T4" i="43"/>
  <c r="T151" i="43"/>
  <c r="T61" i="43"/>
  <c r="T116" i="43"/>
  <c r="T161" i="43"/>
  <c r="T38" i="43"/>
  <c r="T228" i="43"/>
  <c r="T89" i="43"/>
  <c r="T145" i="43"/>
  <c r="T105" i="43"/>
  <c r="T28" i="43"/>
  <c r="T146" i="43"/>
  <c r="T158" i="43"/>
  <c r="T140" i="43"/>
  <c r="T157" i="43"/>
  <c r="T199" i="43"/>
  <c r="T219" i="43"/>
  <c r="T27" i="43"/>
  <c r="T87" i="43"/>
  <c r="T29" i="43"/>
  <c r="F4" i="43"/>
  <c r="F5" i="43"/>
  <c r="F6" i="43"/>
  <c r="F112" i="43"/>
  <c r="F86" i="43"/>
  <c r="F145" i="43"/>
  <c r="F139" i="43"/>
  <c r="F58" i="43"/>
  <c r="F173" i="43"/>
  <c r="F111" i="43"/>
  <c r="F221" i="43"/>
  <c r="F41" i="43"/>
  <c r="F49" i="43"/>
  <c r="F59" i="43"/>
  <c r="F53" i="43"/>
  <c r="F161" i="43"/>
  <c r="F120" i="43"/>
  <c r="F26" i="43"/>
  <c r="F177" i="43"/>
  <c r="F55" i="43"/>
  <c r="AT2" i="43"/>
  <c r="F191" i="43"/>
  <c r="F142" i="43"/>
  <c r="F130" i="43"/>
  <c r="F195" i="43"/>
  <c r="F128" i="43"/>
  <c r="F198" i="43"/>
  <c r="F155" i="43"/>
  <c r="F104" i="43"/>
  <c r="F48" i="43"/>
  <c r="F126" i="43"/>
  <c r="F36" i="43"/>
  <c r="F129" i="43"/>
  <c r="F210" i="43"/>
  <c r="F234" i="43"/>
  <c r="F22" i="43"/>
  <c r="F30" i="43"/>
  <c r="F24" i="43"/>
  <c r="F14" i="43"/>
  <c r="F138" i="43"/>
  <c r="F133" i="43"/>
  <c r="F32" i="43"/>
  <c r="F159" i="43"/>
  <c r="F99" i="43"/>
  <c r="F90" i="43"/>
  <c r="F105" i="43"/>
  <c r="F236" i="43"/>
  <c r="F121" i="43"/>
  <c r="F144" i="43"/>
  <c r="F154" i="43"/>
  <c r="F230" i="43"/>
  <c r="F61" i="43"/>
  <c r="F25" i="43"/>
  <c r="F75" i="43"/>
  <c r="F64" i="43"/>
  <c r="F125" i="43"/>
  <c r="F54" i="43"/>
  <c r="F181" i="43"/>
  <c r="F149" i="43"/>
  <c r="F233" i="43"/>
  <c r="F238" i="43"/>
  <c r="F47" i="43"/>
  <c r="F212" i="43"/>
  <c r="F71" i="43"/>
  <c r="F141" i="43"/>
  <c r="F201" i="43"/>
  <c r="F211" i="43"/>
  <c r="F10" i="43"/>
  <c r="F217" i="43"/>
  <c r="F72" i="43"/>
  <c r="F79" i="43"/>
  <c r="F84" i="43"/>
  <c r="F224" i="43"/>
  <c r="F44" i="43"/>
  <c r="F227" i="43"/>
  <c r="F204" i="43"/>
  <c r="F164" i="43"/>
  <c r="F13" i="43"/>
  <c r="F203" i="43"/>
  <c r="F167" i="43"/>
  <c r="F20" i="43"/>
  <c r="F189" i="43"/>
  <c r="F21" i="43"/>
  <c r="F209" i="43"/>
  <c r="F9" i="43"/>
  <c r="F108" i="43"/>
  <c r="F192" i="43"/>
  <c r="F19" i="43"/>
  <c r="F12" i="43"/>
  <c r="F29" i="43"/>
  <c r="F140" i="43"/>
  <c r="F158" i="43"/>
  <c r="F103" i="43"/>
  <c r="F222" i="43"/>
  <c r="F206" i="43"/>
  <c r="F152" i="43"/>
  <c r="F137" i="43"/>
  <c r="F176" i="43"/>
  <c r="F115" i="43"/>
  <c r="F157" i="43"/>
  <c r="F73" i="43"/>
  <c r="F163" i="43"/>
  <c r="F18" i="43"/>
  <c r="F205" i="43"/>
  <c r="F223" i="43"/>
  <c r="F77" i="43"/>
  <c r="F60" i="43"/>
  <c r="F57" i="43"/>
  <c r="F199" i="43"/>
  <c r="F216" i="43"/>
  <c r="F95" i="43"/>
  <c r="F85" i="43"/>
  <c r="F228" i="43"/>
  <c r="F110" i="43"/>
  <c r="F31" i="43"/>
  <c r="F76" i="43"/>
  <c r="F213" i="43"/>
  <c r="F94" i="43"/>
  <c r="F17" i="43"/>
  <c r="F170" i="43"/>
  <c r="F89" i="43"/>
  <c r="F160" i="43"/>
  <c r="F165" i="43"/>
  <c r="F182" i="43"/>
  <c r="F169" i="43"/>
  <c r="F184" i="43"/>
  <c r="F97" i="43"/>
  <c r="F52" i="43"/>
  <c r="F215" i="43"/>
  <c r="F16" i="43"/>
  <c r="F117" i="43"/>
  <c r="F183" i="43"/>
  <c r="F83" i="43"/>
  <c r="F172" i="43"/>
  <c r="F78" i="43"/>
  <c r="F193" i="43"/>
  <c r="F82" i="43"/>
  <c r="F218" i="43"/>
  <c r="F166" i="43"/>
  <c r="F151" i="43"/>
  <c r="F87" i="43"/>
  <c r="F50" i="43"/>
  <c r="F23" i="43"/>
  <c r="F214" i="43"/>
  <c r="F67" i="43"/>
  <c r="F175" i="43"/>
  <c r="F235" i="43"/>
  <c r="F102" i="43"/>
  <c r="F38" i="43"/>
  <c r="F147" i="43"/>
  <c r="F114" i="43"/>
  <c r="F46" i="43"/>
  <c r="F226" i="43"/>
  <c r="F101" i="43"/>
  <c r="F42" i="43"/>
  <c r="F65" i="43"/>
  <c r="F45" i="43"/>
  <c r="F7" i="43"/>
  <c r="F219" i="43"/>
  <c r="F96" i="43"/>
  <c r="F124" i="43"/>
  <c r="F188" i="43"/>
  <c r="F118" i="43"/>
  <c r="F127" i="43"/>
  <c r="F33" i="43"/>
  <c r="F28" i="43"/>
  <c r="F207" i="43"/>
  <c r="F43" i="43"/>
  <c r="F231" i="43"/>
  <c r="F66" i="43"/>
  <c r="F40" i="43"/>
  <c r="F232" i="43"/>
  <c r="F100" i="43"/>
  <c r="F190" i="43"/>
  <c r="F11" i="43"/>
  <c r="F187" i="43"/>
  <c r="F146" i="43"/>
  <c r="F8" i="43"/>
  <c r="F119" i="43"/>
  <c r="F174" i="43"/>
  <c r="F197" i="43"/>
  <c r="F80" i="43"/>
  <c r="F156" i="43"/>
  <c r="F51" i="43"/>
  <c r="F15" i="43"/>
  <c r="F98" i="43"/>
  <c r="F136" i="43"/>
  <c r="F107" i="43"/>
  <c r="F116" i="43"/>
  <c r="F62" i="43"/>
  <c r="F153" i="43"/>
  <c r="F186" i="43"/>
  <c r="F168" i="43"/>
  <c r="F148" i="43"/>
  <c r="F70" i="43"/>
  <c r="F39" i="43"/>
  <c r="F194" i="43"/>
  <c r="F237" i="43"/>
  <c r="F171" i="43"/>
  <c r="F37" i="43"/>
  <c r="F202" i="43"/>
  <c r="F220" i="43"/>
  <c r="F200" i="43"/>
  <c r="F69" i="43"/>
  <c r="F179" i="43"/>
  <c r="F178" i="43"/>
  <c r="F106" i="43"/>
  <c r="F239" i="43"/>
  <c r="T35" i="43"/>
  <c r="T203" i="43"/>
  <c r="T93" i="43"/>
  <c r="T77" i="43"/>
  <c r="T123" i="43"/>
  <c r="T108" i="43"/>
  <c r="T207" i="43"/>
  <c r="T23" i="43"/>
  <c r="T188" i="43"/>
  <c r="T86" i="43"/>
  <c r="T133" i="43"/>
  <c r="T103" i="43"/>
  <c r="T174" i="43"/>
  <c r="T129" i="43"/>
  <c r="T95" i="43"/>
  <c r="T53" i="43"/>
  <c r="T19" i="43"/>
  <c r="T122" i="43"/>
  <c r="T52" i="43"/>
  <c r="T15" i="43"/>
  <c r="T147" i="43"/>
  <c r="T179" i="43"/>
  <c r="T18" i="43"/>
  <c r="T226" i="43"/>
  <c r="F116" i="28"/>
  <c r="F118" i="28" s="1"/>
  <c r="J110" i="28"/>
  <c r="J116" i="28" s="1"/>
  <c r="E6" i="47"/>
  <c r="E90" i="47"/>
  <c r="E154" i="47"/>
  <c r="E233" i="47"/>
  <c r="E204" i="47"/>
  <c r="E108" i="47"/>
  <c r="E234" i="47"/>
  <c r="E184" i="47"/>
  <c r="E74" i="47"/>
  <c r="E178" i="47"/>
  <c r="E245" i="47"/>
  <c r="E94" i="47"/>
  <c r="E168" i="47"/>
  <c r="E61" i="47"/>
  <c r="E167" i="47"/>
  <c r="E158" i="47"/>
  <c r="E188" i="47"/>
  <c r="E11" i="47"/>
  <c r="E24" i="47"/>
  <c r="E64" i="47"/>
  <c r="E276" i="47"/>
  <c r="E198" i="47"/>
  <c r="E269" i="47"/>
  <c r="E222" i="47"/>
  <c r="E250" i="47"/>
  <c r="E8" i="47"/>
  <c r="E280" i="47"/>
  <c r="E273" i="47"/>
  <c r="E146" i="47"/>
  <c r="E173" i="47"/>
  <c r="E214" i="47"/>
  <c r="E263" i="47"/>
  <c r="E189" i="47"/>
  <c r="E103" i="47"/>
  <c r="E23" i="47"/>
  <c r="E68" i="47"/>
  <c r="E76" i="47"/>
  <c r="E60" i="47"/>
  <c r="E252" i="47"/>
  <c r="E228" i="47"/>
  <c r="E47" i="47"/>
  <c r="E141" i="47"/>
  <c r="E126" i="47"/>
  <c r="E18" i="47"/>
  <c r="E138" i="47"/>
  <c r="E180" i="47"/>
  <c r="E192" i="47"/>
  <c r="E22" i="47"/>
  <c r="E145" i="47"/>
  <c r="E59" i="47"/>
  <c r="E275" i="47"/>
  <c r="E53" i="47"/>
  <c r="E44" i="47"/>
  <c r="E268" i="47"/>
  <c r="E150" i="47"/>
  <c r="E274" i="47"/>
  <c r="E232" i="47"/>
  <c r="E87" i="47"/>
  <c r="E278" i="47"/>
  <c r="E65" i="47"/>
  <c r="E117" i="47"/>
  <c r="E93" i="47"/>
  <c r="E63" i="47"/>
  <c r="E29" i="47"/>
  <c r="E110" i="47"/>
  <c r="E219" i="47"/>
  <c r="E114" i="47"/>
  <c r="E140" i="47"/>
  <c r="E246" i="47"/>
  <c r="E156" i="47"/>
  <c r="E193" i="47"/>
  <c r="E153" i="47"/>
  <c r="E161" i="47"/>
  <c r="E136" i="47"/>
  <c r="E235" i="47"/>
  <c r="E135" i="47"/>
  <c r="E254" i="47"/>
  <c r="E26" i="47"/>
  <c r="E165" i="47"/>
  <c r="E133" i="47"/>
  <c r="E70" i="47"/>
  <c r="E39" i="47"/>
  <c r="E42" i="47"/>
  <c r="E255" i="47"/>
  <c r="E201" i="47"/>
  <c r="E166" i="47"/>
  <c r="E71" i="47"/>
  <c r="E144" i="47"/>
  <c r="E96" i="47"/>
  <c r="E162" i="47"/>
  <c r="E212" i="47"/>
  <c r="E143" i="47"/>
  <c r="E203" i="47"/>
  <c r="E195" i="47"/>
  <c r="E227" i="47"/>
  <c r="E13" i="47"/>
  <c r="E122" i="47"/>
  <c r="E86" i="47"/>
  <c r="E225" i="47"/>
  <c r="E169" i="47"/>
  <c r="E116" i="47"/>
  <c r="E115" i="47"/>
  <c r="E79" i="47"/>
  <c r="E14" i="47"/>
  <c r="E149" i="47"/>
  <c r="E243" i="47"/>
  <c r="E19" i="47"/>
  <c r="E237" i="47"/>
  <c r="E208" i="47"/>
  <c r="E258" i="47"/>
  <c r="E4" i="47"/>
  <c r="E56" i="47"/>
  <c r="E170" i="47"/>
  <c r="E182" i="47"/>
  <c r="E194" i="47"/>
  <c r="E247" i="47"/>
  <c r="E177" i="47"/>
  <c r="E46" i="47"/>
  <c r="E9" i="47"/>
  <c r="E215" i="47"/>
  <c r="E152" i="47"/>
  <c r="E32" i="47"/>
  <c r="E131" i="47"/>
  <c r="E78" i="47"/>
  <c r="E80" i="47"/>
  <c r="E155" i="47"/>
  <c r="E139" i="47"/>
  <c r="E67" i="47"/>
  <c r="E129" i="47"/>
  <c r="E28" i="47"/>
  <c r="E164" i="47"/>
  <c r="E125" i="47"/>
  <c r="E128" i="47"/>
  <c r="E99" i="47"/>
  <c r="E239" i="47"/>
  <c r="E157" i="47"/>
  <c r="E100" i="47"/>
  <c r="E10" i="47"/>
  <c r="E248" i="47"/>
  <c r="E224" i="47"/>
  <c r="E12" i="47"/>
  <c r="E95" i="47"/>
  <c r="E127" i="47"/>
  <c r="E85" i="47"/>
  <c r="E202" i="47"/>
  <c r="E5" i="47"/>
  <c r="E220" i="47"/>
  <c r="E175" i="47"/>
  <c r="E231" i="47"/>
  <c r="E51" i="47"/>
  <c r="E261" i="47"/>
  <c r="E199" i="47"/>
  <c r="E55" i="47"/>
  <c r="E137" i="47"/>
  <c r="E151" i="47"/>
  <c r="E218" i="47"/>
  <c r="E119" i="47"/>
  <c r="E265" i="47"/>
  <c r="E38" i="47"/>
  <c r="E121" i="47"/>
  <c r="E244" i="47"/>
  <c r="E17" i="47"/>
  <c r="E102" i="47"/>
  <c r="E21" i="47"/>
  <c r="E69" i="47"/>
  <c r="E264" i="47"/>
  <c r="E98" i="47"/>
  <c r="E206" i="47"/>
  <c r="E58" i="47"/>
  <c r="E104" i="47"/>
  <c r="E49" i="47"/>
  <c r="E267" i="47"/>
  <c r="E181" i="47"/>
  <c r="E187" i="47"/>
  <c r="E34" i="47"/>
  <c r="E130" i="47"/>
  <c r="E211" i="47"/>
  <c r="E256" i="47"/>
  <c r="E88" i="47"/>
  <c r="E171" i="47"/>
  <c r="E249" i="47"/>
  <c r="E105" i="47"/>
  <c r="E191" i="47"/>
  <c r="E223" i="47"/>
  <c r="E147" i="47"/>
  <c r="E260" i="47"/>
  <c r="E83" i="47"/>
  <c r="T3" i="43"/>
  <c r="AR18" i="43" s="1"/>
  <c r="T197" i="43"/>
  <c r="T148" i="43"/>
  <c r="T99" i="43"/>
  <c r="T100" i="43"/>
  <c r="T206" i="43"/>
  <c r="T88" i="43"/>
  <c r="T135" i="43"/>
  <c r="T189" i="43"/>
  <c r="T137" i="43"/>
  <c r="T204" i="43"/>
  <c r="T210" i="43"/>
  <c r="T22" i="43"/>
  <c r="T159" i="43"/>
  <c r="T10" i="43"/>
  <c r="T136" i="43"/>
  <c r="T218" i="43"/>
  <c r="T182" i="43"/>
  <c r="T213" i="43"/>
  <c r="T80" i="43"/>
  <c r="T67" i="43"/>
  <c r="T164" i="43"/>
  <c r="T7" i="43"/>
  <c r="T124" i="43"/>
  <c r="T96" i="43"/>
  <c r="T113" i="43"/>
  <c r="T82" i="43"/>
  <c r="T64" i="43"/>
  <c r="T222" i="43"/>
  <c r="T91" i="43"/>
  <c r="T83" i="43"/>
  <c r="T211" i="43"/>
  <c r="T54" i="43"/>
  <c r="T128" i="43"/>
  <c r="T215" i="43"/>
  <c r="T231" i="43"/>
  <c r="T142" i="43"/>
  <c r="T168" i="43"/>
  <c r="T163" i="43"/>
  <c r="T110" i="43"/>
  <c r="T143" i="43"/>
  <c r="T21" i="43"/>
  <c r="T177" i="43"/>
  <c r="T39" i="43"/>
  <c r="T45" i="43"/>
  <c r="T46" i="43"/>
  <c r="T131" i="43"/>
  <c r="T187" i="43"/>
  <c r="T162" i="43"/>
  <c r="T30" i="43"/>
  <c r="T202" i="43"/>
  <c r="T235" i="43"/>
  <c r="T79" i="43"/>
  <c r="T209" i="43"/>
  <c r="T217" i="43"/>
  <c r="T98" i="43"/>
  <c r="T17" i="43"/>
  <c r="T160" i="43"/>
  <c r="T44" i="43"/>
  <c r="T68" i="43"/>
  <c r="T170" i="43"/>
  <c r="T166" i="43"/>
  <c r="T208" i="43"/>
  <c r="T115" i="43"/>
  <c r="T74" i="43"/>
  <c r="T117" i="43"/>
  <c r="T198" i="43"/>
  <c r="T184" i="43"/>
  <c r="T193" i="43"/>
  <c r="T227" i="43"/>
  <c r="T178" i="43"/>
  <c r="T47" i="43"/>
  <c r="T72" i="43"/>
  <c r="T180" i="43"/>
  <c r="T36" i="43"/>
  <c r="T186" i="43"/>
  <c r="T191" i="43"/>
  <c r="T150" i="43"/>
  <c r="T26" i="43"/>
  <c r="T138" i="43"/>
  <c r="T173" i="43"/>
  <c r="T34" i="43"/>
  <c r="T43" i="43"/>
  <c r="T165" i="43"/>
  <c r="T205" i="43"/>
  <c r="T12" i="43"/>
  <c r="T106" i="43"/>
  <c r="T169" i="43"/>
  <c r="T107" i="43"/>
  <c r="T112" i="43"/>
  <c r="T71" i="43"/>
  <c r="T232" i="43"/>
  <c r="T16" i="43"/>
  <c r="T75" i="43"/>
  <c r="T183" i="43"/>
  <c r="T33" i="43"/>
  <c r="T240" i="43"/>
  <c r="T176" i="43"/>
  <c r="T194" i="43"/>
  <c r="T102" i="43"/>
  <c r="T109" i="43"/>
  <c r="T60" i="43"/>
  <c r="T8" i="43"/>
  <c r="T141" i="43"/>
  <c r="T11" i="43"/>
  <c r="T229" i="43"/>
  <c r="T84" i="43"/>
  <c r="T230" i="43"/>
  <c r="T125" i="43"/>
  <c r="T195" i="43"/>
  <c r="T139" i="43"/>
  <c r="T221" i="43"/>
  <c r="F114" i="28" a="1"/>
  <c r="F114" i="28" s="1"/>
  <c r="F123" i="28" s="1"/>
  <c r="B15" i="5"/>
  <c r="B17" i="5"/>
  <c r="B16" i="5"/>
  <c r="T69" i="43"/>
  <c r="T181" i="43"/>
  <c r="T40" i="43"/>
  <c r="T73" i="43"/>
  <c r="T42" i="43"/>
  <c r="T90" i="43"/>
  <c r="T238" i="43"/>
  <c r="T154" i="43"/>
  <c r="T37" i="43"/>
  <c r="T134" i="43"/>
  <c r="T50" i="43"/>
  <c r="T114" i="43"/>
  <c r="T196" i="43"/>
  <c r="T118" i="43"/>
  <c r="T94" i="43"/>
  <c r="T6" i="43"/>
  <c r="T233" i="43"/>
  <c r="T48" i="43"/>
  <c r="T101" i="43"/>
  <c r="T171" i="43"/>
  <c r="T120" i="43"/>
  <c r="T119" i="43"/>
  <c r="T76" i="43"/>
  <c r="T216" i="43"/>
  <c r="T192" i="43"/>
  <c r="AD11" i="42"/>
  <c r="F9" i="50"/>
  <c r="E5" i="49"/>
  <c r="E6" i="49"/>
  <c r="E4" i="49"/>
  <c r="AD14" i="42"/>
  <c r="AD5" i="42"/>
  <c r="F3" i="47"/>
  <c r="R48" i="43"/>
  <c r="R88" i="43"/>
  <c r="R19" i="43"/>
  <c r="R129" i="43"/>
  <c r="R221" i="43"/>
  <c r="R97" i="43"/>
  <c r="R173" i="43"/>
  <c r="R22" i="43"/>
  <c r="R30" i="43"/>
  <c r="R127" i="43"/>
  <c r="R71" i="43"/>
  <c r="R236" i="43"/>
  <c r="R151" i="43"/>
  <c r="R187" i="43"/>
  <c r="R105" i="43"/>
  <c r="R218" i="43"/>
  <c r="R182" i="43"/>
  <c r="R209" i="43"/>
  <c r="R223" i="43"/>
  <c r="R98" i="43"/>
  <c r="R144" i="43"/>
  <c r="R59" i="43"/>
  <c r="R99" i="43"/>
  <c r="R20" i="43"/>
  <c r="R193" i="43"/>
  <c r="R185" i="43"/>
  <c r="R32" i="43"/>
  <c r="R90" i="43"/>
  <c r="R128" i="43"/>
  <c r="AW46" i="49"/>
  <c r="AW37" i="49"/>
  <c r="AW113" i="49"/>
  <c r="AW31" i="49"/>
  <c r="AW85" i="49"/>
  <c r="AW43" i="49"/>
  <c r="AW10" i="49"/>
  <c r="AW45" i="49"/>
  <c r="AW82" i="49"/>
  <c r="AW115" i="49"/>
  <c r="AW8" i="49"/>
  <c r="AW35" i="49"/>
  <c r="AW96" i="49"/>
  <c r="AW33" i="49"/>
  <c r="AW62" i="49"/>
  <c r="F164" i="47"/>
  <c r="F160" i="47"/>
  <c r="F267" i="47"/>
  <c r="F278" i="47"/>
  <c r="F12" i="47"/>
  <c r="F135" i="47"/>
  <c r="F258" i="47"/>
  <c r="F143" i="47"/>
  <c r="F112" i="47"/>
  <c r="F125" i="47"/>
  <c r="F100" i="47"/>
  <c r="F36" i="47"/>
  <c r="F192" i="47"/>
  <c r="F145" i="47"/>
  <c r="F49" i="47"/>
  <c r="F229" i="47"/>
  <c r="F82" i="47"/>
  <c r="F101" i="47"/>
  <c r="F178" i="47"/>
  <c r="F76" i="47"/>
  <c r="F75" i="47"/>
  <c r="F141" i="47"/>
  <c r="F193" i="47"/>
  <c r="F127" i="47"/>
  <c r="F235" i="47"/>
  <c r="F231" i="47"/>
  <c r="F154" i="47"/>
  <c r="F139" i="47"/>
  <c r="F195" i="47"/>
  <c r="F98" i="47"/>
  <c r="F34" i="47"/>
  <c r="AJ224" i="47"/>
  <c r="AJ275" i="47"/>
  <c r="AJ36" i="47"/>
  <c r="AJ270" i="47"/>
  <c r="AJ245" i="47"/>
  <c r="AJ168" i="47"/>
  <c r="AJ226" i="47"/>
  <c r="AJ191" i="47"/>
  <c r="AJ269" i="47"/>
  <c r="AJ271" i="47"/>
  <c r="AJ82" i="47"/>
  <c r="AJ218" i="47"/>
  <c r="AJ75" i="47"/>
  <c r="AJ86" i="47"/>
  <c r="AJ204" i="47"/>
  <c r="AJ134" i="47"/>
  <c r="AJ50" i="47"/>
  <c r="AJ202" i="47"/>
  <c r="AJ277" i="47"/>
  <c r="AJ123" i="47"/>
  <c r="AJ263" i="47"/>
  <c r="AJ54" i="47"/>
  <c r="AJ12" i="47"/>
  <c r="AJ99" i="47"/>
  <c r="AJ216" i="47"/>
  <c r="AJ133" i="47"/>
  <c r="AJ190" i="47"/>
  <c r="AJ193" i="47"/>
  <c r="AJ166" i="47"/>
  <c r="AJ179" i="47"/>
  <c r="AJ72" i="47"/>
  <c r="AJ95" i="47"/>
  <c r="AJ230" i="47"/>
  <c r="AJ97" i="47"/>
  <c r="AJ89" i="47"/>
  <c r="F51" i="47"/>
  <c r="F41" i="47"/>
  <c r="F161" i="47"/>
  <c r="F211" i="47"/>
  <c r="F65" i="47"/>
  <c r="F172" i="47"/>
  <c r="F77" i="47"/>
  <c r="AD18" i="42"/>
  <c r="AD8" i="42"/>
  <c r="R56" i="43"/>
  <c r="R115" i="43"/>
  <c r="R7" i="43"/>
  <c r="R125" i="43"/>
  <c r="R169" i="43"/>
  <c r="R200" i="43"/>
  <c r="R212" i="43"/>
  <c r="R135" i="43"/>
  <c r="R51" i="43"/>
  <c r="R117" i="43"/>
  <c r="R217" i="43"/>
  <c r="R202" i="43"/>
  <c r="R237" i="43"/>
  <c r="R82" i="43"/>
  <c r="R206" i="43"/>
  <c r="R177" i="43"/>
  <c r="R17" i="43"/>
  <c r="R25" i="43"/>
  <c r="R210" i="43"/>
  <c r="R50" i="43"/>
  <c r="R87" i="43"/>
  <c r="R133" i="43"/>
  <c r="R122" i="43"/>
  <c r="R235" i="43"/>
  <c r="R84" i="43"/>
  <c r="R47" i="43"/>
  <c r="R180" i="43"/>
  <c r="R94" i="43"/>
  <c r="R21" i="43"/>
  <c r="AW116" i="49"/>
  <c r="AW30" i="49"/>
  <c r="AW65" i="49"/>
  <c r="AW6" i="49"/>
  <c r="AW16" i="49"/>
  <c r="AW74" i="49"/>
  <c r="AW108" i="49"/>
  <c r="AW86" i="49"/>
  <c r="AW58" i="49"/>
  <c r="AW29" i="49"/>
  <c r="AW19" i="49"/>
  <c r="AW102" i="49"/>
  <c r="AW97" i="49"/>
  <c r="AW118" i="49"/>
  <c r="AW101" i="49"/>
  <c r="F252" i="47"/>
  <c r="F18" i="47"/>
  <c r="F19" i="47"/>
  <c r="F262" i="47"/>
  <c r="F146" i="47"/>
  <c r="F196" i="47"/>
  <c r="F206" i="47"/>
  <c r="F159" i="47"/>
  <c r="F241" i="47"/>
  <c r="F230" i="47"/>
  <c r="F48" i="47"/>
  <c r="F110" i="47"/>
  <c r="F273" i="47"/>
  <c r="F80" i="47"/>
  <c r="F150" i="47"/>
  <c r="F20" i="47"/>
  <c r="F268" i="47"/>
  <c r="F227" i="47"/>
  <c r="F121" i="47"/>
  <c r="F183" i="47"/>
  <c r="F238" i="47"/>
  <c r="F162" i="47"/>
  <c r="F194" i="47"/>
  <c r="F37" i="47"/>
  <c r="F42" i="47"/>
  <c r="F277" i="47"/>
  <c r="F87" i="47"/>
  <c r="F240" i="47"/>
  <c r="F256" i="47"/>
  <c r="F242" i="47"/>
  <c r="AJ248" i="47"/>
  <c r="AJ106" i="47"/>
  <c r="AJ236" i="47"/>
  <c r="AJ91" i="47"/>
  <c r="AJ233" i="47"/>
  <c r="AJ29" i="47"/>
  <c r="AJ220" i="47"/>
  <c r="AJ27" i="47"/>
  <c r="AJ142" i="47"/>
  <c r="AJ65" i="47"/>
  <c r="AJ201" i="47"/>
  <c r="AJ46" i="47"/>
  <c r="AJ267" i="47"/>
  <c r="AJ159" i="47"/>
  <c r="AJ237" i="47"/>
  <c r="AJ249" i="47"/>
  <c r="AJ44" i="47"/>
  <c r="AJ259" i="47"/>
  <c r="AJ52" i="47"/>
  <c r="AJ244" i="47"/>
  <c r="AJ111" i="47"/>
  <c r="AJ107" i="47"/>
  <c r="AJ60" i="47"/>
  <c r="AJ182" i="47"/>
  <c r="AJ209" i="47"/>
  <c r="AJ79" i="47"/>
  <c r="AJ115" i="47"/>
  <c r="AJ186" i="47"/>
  <c r="AJ278" i="47"/>
  <c r="AJ98" i="47"/>
  <c r="AJ83" i="47"/>
  <c r="AJ66" i="47"/>
  <c r="AJ187" i="47"/>
  <c r="AJ19" i="47"/>
  <c r="AJ279" i="47"/>
  <c r="F275" i="47"/>
  <c r="F188" i="47"/>
  <c r="F120" i="47"/>
  <c r="F223" i="47"/>
  <c r="F6" i="47"/>
  <c r="F4" i="47"/>
  <c r="F5" i="47"/>
  <c r="AD9" i="42"/>
  <c r="AD17" i="42"/>
  <c r="AW3" i="49"/>
  <c r="R28" i="43"/>
  <c r="R16" i="43"/>
  <c r="R121" i="43"/>
  <c r="R201" i="43"/>
  <c r="R146" i="43"/>
  <c r="R222" i="43"/>
  <c r="R95" i="43"/>
  <c r="R78" i="43"/>
  <c r="R44" i="43"/>
  <c r="R68" i="43"/>
  <c r="R172" i="43"/>
  <c r="R230" i="43"/>
  <c r="R145" i="43"/>
  <c r="R118" i="43"/>
  <c r="R213" i="43"/>
  <c r="R79" i="43"/>
  <c r="R136" i="43"/>
  <c r="R54" i="43"/>
  <c r="R73" i="43"/>
  <c r="R164" i="43"/>
  <c r="R8" i="43"/>
  <c r="R183" i="43"/>
  <c r="R147" i="43"/>
  <c r="R126" i="43"/>
  <c r="R26" i="43"/>
  <c r="R92" i="43"/>
  <c r="R175" i="43"/>
  <c r="R75" i="43"/>
  <c r="R224" i="43"/>
  <c r="AW15" i="49"/>
  <c r="AW22" i="49"/>
  <c r="AW70" i="49"/>
  <c r="AW104" i="49"/>
  <c r="AW5" i="49"/>
  <c r="AW94" i="49"/>
  <c r="AW78" i="49"/>
  <c r="AW28" i="49"/>
  <c r="AW56" i="49"/>
  <c r="AW41" i="49"/>
  <c r="AW88" i="49"/>
  <c r="AW119" i="49"/>
  <c r="AW121" i="49"/>
  <c r="AW105" i="49"/>
  <c r="AW67" i="49"/>
  <c r="F25" i="47"/>
  <c r="F190" i="47"/>
  <c r="F114" i="47"/>
  <c r="F189" i="47"/>
  <c r="F153" i="47"/>
  <c r="F232" i="47"/>
  <c r="F181" i="47"/>
  <c r="F219" i="47"/>
  <c r="F69" i="47"/>
  <c r="F171" i="47"/>
  <c r="F276" i="47"/>
  <c r="F115" i="47"/>
  <c r="F191" i="47"/>
  <c r="F133" i="47"/>
  <c r="F179" i="47"/>
  <c r="F7" i="47"/>
  <c r="F116" i="47"/>
  <c r="F245" i="47"/>
  <c r="F180" i="47"/>
  <c r="F168" i="47"/>
  <c r="F185" i="47"/>
  <c r="F56" i="47"/>
  <c r="F78" i="47"/>
  <c r="F250" i="47"/>
  <c r="F204" i="47"/>
  <c r="F270" i="47"/>
  <c r="F32" i="47"/>
  <c r="F59" i="47"/>
  <c r="F140" i="47"/>
  <c r="AJ264" i="47"/>
  <c r="AJ59" i="47"/>
  <c r="AJ158" i="47"/>
  <c r="AJ15" i="47"/>
  <c r="AJ240" i="47"/>
  <c r="AJ217" i="47"/>
  <c r="AJ20" i="47"/>
  <c r="AJ164" i="47"/>
  <c r="AJ38" i="47"/>
  <c r="AJ219" i="47"/>
  <c r="AJ254" i="47"/>
  <c r="AJ147" i="47"/>
  <c r="AJ62" i="47"/>
  <c r="AJ276" i="47"/>
  <c r="AJ42" i="47"/>
  <c r="AJ207" i="47"/>
  <c r="AJ238" i="47"/>
  <c r="AJ28" i="47"/>
  <c r="AJ162" i="47"/>
  <c r="AJ112" i="47"/>
  <c r="AJ47" i="47"/>
  <c r="AJ185" i="47"/>
  <c r="AJ200" i="47"/>
  <c r="AJ6" i="47"/>
  <c r="AJ122" i="47"/>
  <c r="AJ227" i="47"/>
  <c r="AJ174" i="47"/>
  <c r="AJ110" i="47"/>
  <c r="AJ49" i="47"/>
  <c r="AJ113" i="47"/>
  <c r="AJ266" i="47"/>
  <c r="AJ63" i="47"/>
  <c r="AJ253" i="47"/>
  <c r="AJ250" i="47"/>
  <c r="AJ126" i="47"/>
  <c r="F163" i="47"/>
  <c r="F233" i="47"/>
  <c r="F263" i="47"/>
  <c r="F170" i="47"/>
  <c r="F123" i="47"/>
  <c r="AD10" i="42"/>
  <c r="R208" i="43"/>
  <c r="R174" i="43"/>
  <c r="R205" i="43"/>
  <c r="R74" i="43"/>
  <c r="R168" i="43"/>
  <c r="R203" i="43"/>
  <c r="R111" i="43"/>
  <c r="R189" i="43"/>
  <c r="AW20" i="49"/>
  <c r="AW48" i="49"/>
  <c r="AW92" i="49"/>
  <c r="AW76" i="49"/>
  <c r="AW117" i="49"/>
  <c r="AW7" i="49"/>
  <c r="AW109" i="49"/>
  <c r="AW98" i="49"/>
  <c r="AW90" i="49"/>
  <c r="AW69" i="49"/>
  <c r="AW122" i="49"/>
  <c r="AW72" i="49"/>
  <c r="AW18" i="49"/>
  <c r="AW100" i="49"/>
  <c r="AW44" i="49"/>
  <c r="F107" i="47"/>
  <c r="F210" i="47"/>
  <c r="F13" i="47"/>
  <c r="F147" i="47"/>
  <c r="F251" i="47"/>
  <c r="F89" i="47"/>
  <c r="F111" i="47"/>
  <c r="F26" i="47"/>
  <c r="F132" i="47"/>
  <c r="F269" i="47"/>
  <c r="F200" i="47"/>
  <c r="F129" i="47"/>
  <c r="F222" i="47"/>
  <c r="F253" i="47"/>
  <c r="F104" i="47"/>
  <c r="F187" i="47"/>
  <c r="F9" i="47"/>
  <c r="F84" i="47"/>
  <c r="F224" i="47"/>
  <c r="F128" i="47"/>
  <c r="F226" i="47"/>
  <c r="F108" i="47"/>
  <c r="F86" i="47"/>
  <c r="F203" i="47"/>
  <c r="F249" i="47"/>
  <c r="F60" i="47"/>
  <c r="F16" i="47"/>
  <c r="F207" i="47"/>
  <c r="F149" i="47"/>
  <c r="F246" i="47"/>
  <c r="AJ225" i="47"/>
  <c r="AJ120" i="47"/>
  <c r="AJ171" i="47"/>
  <c r="AJ125" i="47"/>
  <c r="AJ198" i="47"/>
  <c r="AJ34" i="47"/>
  <c r="AJ132" i="47"/>
  <c r="AJ41" i="47"/>
  <c r="AJ23" i="47"/>
  <c r="AJ274" i="47"/>
  <c r="AJ189" i="47"/>
  <c r="AJ260" i="47"/>
  <c r="AJ194" i="47"/>
  <c r="AJ178" i="47"/>
  <c r="AJ192" i="47"/>
  <c r="AJ265" i="47"/>
  <c r="AJ180" i="47"/>
  <c r="AJ5" i="47"/>
  <c r="AJ69" i="47"/>
  <c r="AJ268" i="47"/>
  <c r="AJ4" i="47"/>
  <c r="AJ223" i="47"/>
  <c r="AJ21" i="47"/>
  <c r="AJ117" i="47"/>
  <c r="AJ165" i="47"/>
  <c r="AJ85" i="47"/>
  <c r="AJ152" i="47"/>
  <c r="AJ170" i="47"/>
  <c r="AJ129" i="47"/>
  <c r="AJ150" i="47"/>
  <c r="AJ148" i="47"/>
  <c r="AJ151" i="47"/>
  <c r="AJ155" i="47"/>
  <c r="AJ235" i="47"/>
  <c r="AJ246" i="47"/>
  <c r="R24" i="43"/>
  <c r="R239" i="43"/>
  <c r="R227" i="43"/>
  <c r="R240" i="43"/>
  <c r="R52" i="43"/>
  <c r="R207" i="43"/>
  <c r="R138" i="43"/>
  <c r="R70" i="43"/>
  <c r="R190" i="43"/>
  <c r="R45" i="43"/>
  <c r="R112" i="43"/>
  <c r="R142" i="43"/>
  <c r="AD16" i="42"/>
  <c r="AD7" i="42"/>
  <c r="AB4" i="42"/>
  <c r="R157" i="43"/>
  <c r="R216" i="43"/>
  <c r="R57" i="43"/>
  <c r="R49" i="43"/>
  <c r="R63" i="43"/>
  <c r="R101" i="43"/>
  <c r="R61" i="43"/>
  <c r="R100" i="43"/>
  <c r="R55" i="43"/>
  <c r="R102" i="43"/>
  <c r="R42" i="43"/>
  <c r="R110" i="43"/>
  <c r="R153" i="43"/>
  <c r="R34" i="43"/>
  <c r="R132" i="43"/>
  <c r="R62" i="43"/>
  <c r="R166" i="43"/>
  <c r="R14" i="43"/>
  <c r="R131" i="43"/>
  <c r="R198" i="43"/>
  <c r="R27" i="43"/>
  <c r="R140" i="43"/>
  <c r="R67" i="43"/>
  <c r="R9" i="43"/>
  <c r="R171" i="43"/>
  <c r="R91" i="43"/>
  <c r="R130" i="43"/>
  <c r="R116" i="43"/>
  <c r="R158" i="43"/>
  <c r="R234" i="43"/>
  <c r="AW47" i="49"/>
  <c r="AW25" i="49"/>
  <c r="AW12" i="49"/>
  <c r="AW40" i="49"/>
  <c r="AW110" i="49"/>
  <c r="AW51" i="49"/>
  <c r="AW49" i="49"/>
  <c r="AW83" i="49"/>
  <c r="AW77" i="49"/>
  <c r="AW55" i="49"/>
  <c r="AW59" i="49"/>
  <c r="AW26" i="49"/>
  <c r="AW80" i="49"/>
  <c r="AW125" i="49"/>
  <c r="AW73" i="49"/>
  <c r="F259" i="47"/>
  <c r="F220" i="47"/>
  <c r="F85" i="47"/>
  <c r="F182" i="47"/>
  <c r="F23" i="47"/>
  <c r="F248" i="47"/>
  <c r="F126" i="47"/>
  <c r="F119" i="47"/>
  <c r="F197" i="47"/>
  <c r="F243" i="47"/>
  <c r="F62" i="47"/>
  <c r="F70" i="47"/>
  <c r="F8" i="47"/>
  <c r="F93" i="47"/>
  <c r="F173" i="47"/>
  <c r="F99" i="47"/>
  <c r="F83" i="47"/>
  <c r="F272" i="47"/>
  <c r="F247" i="47"/>
  <c r="F175" i="47"/>
  <c r="F50" i="47"/>
  <c r="F14" i="47"/>
  <c r="F167" i="47"/>
  <c r="F158" i="47"/>
  <c r="F131" i="47"/>
  <c r="F79" i="47"/>
  <c r="F92" i="47"/>
  <c r="F136" i="47"/>
  <c r="F67" i="47"/>
  <c r="F97" i="47"/>
  <c r="AJ196" i="47"/>
  <c r="AJ229" i="47"/>
  <c r="AJ203" i="47"/>
  <c r="AJ51" i="47"/>
  <c r="AJ118" i="47"/>
  <c r="AJ88" i="47"/>
  <c r="AJ183" i="47"/>
  <c r="AJ146" i="47"/>
  <c r="AJ173" i="47"/>
  <c r="AJ242" i="47"/>
  <c r="AJ76" i="47"/>
  <c r="AJ31" i="47"/>
  <c r="AJ145" i="47"/>
  <c r="AJ206" i="47"/>
  <c r="AJ13" i="47"/>
  <c r="AJ92" i="47"/>
  <c r="AJ39" i="47"/>
  <c r="AJ87" i="47"/>
  <c r="AJ100" i="47"/>
  <c r="AJ64" i="47"/>
  <c r="AJ262" i="47"/>
  <c r="AJ272" i="47"/>
  <c r="AJ215" i="47"/>
  <c r="AJ280" i="47"/>
  <c r="AJ167" i="47"/>
  <c r="AJ127" i="47"/>
  <c r="AJ9" i="47"/>
  <c r="AJ81" i="47"/>
  <c r="AJ138" i="47"/>
  <c r="AJ70" i="47"/>
  <c r="AJ161" i="47"/>
  <c r="AJ140" i="47"/>
  <c r="AJ45" i="47"/>
  <c r="AJ234" i="47"/>
  <c r="AJ273" i="47"/>
  <c r="E10" i="50"/>
  <c r="F61" i="47"/>
  <c r="AD13" i="42"/>
  <c r="R141" i="43"/>
  <c r="R184" i="43"/>
  <c r="R181" i="43"/>
  <c r="R69" i="43"/>
  <c r="R114" i="43"/>
  <c r="R148" i="43"/>
  <c r="R65" i="43"/>
  <c r="R11" i="43"/>
  <c r="R39" i="43"/>
  <c r="R154" i="43"/>
  <c r="AD15" i="42"/>
  <c r="Z4" i="42"/>
  <c r="R80" i="43"/>
  <c r="R120" i="43"/>
  <c r="R5" i="43"/>
  <c r="R176" i="43"/>
  <c r="R220" i="43"/>
  <c r="R149" i="43"/>
  <c r="R233" i="43"/>
  <c r="R119" i="43"/>
  <c r="R4" i="43"/>
  <c r="R152" i="43"/>
  <c r="R191" i="43"/>
  <c r="R36" i="43"/>
  <c r="R43" i="43"/>
  <c r="R83" i="43"/>
  <c r="R137" i="43"/>
  <c r="R211" i="43"/>
  <c r="R192" i="43"/>
  <c r="R199" i="43"/>
  <c r="R76" i="43"/>
  <c r="R197" i="43"/>
  <c r="R195" i="43"/>
  <c r="R204" i="43"/>
  <c r="R238" i="43"/>
  <c r="R232" i="43"/>
  <c r="R6" i="43"/>
  <c r="R123" i="43"/>
  <c r="R163" i="43"/>
  <c r="R113" i="43"/>
  <c r="R156" i="43"/>
  <c r="R72" i="43"/>
  <c r="AW75" i="49"/>
  <c r="AW24" i="49"/>
  <c r="AW103" i="49"/>
  <c r="AW112" i="49"/>
  <c r="AW42" i="49"/>
  <c r="AW114" i="49"/>
  <c r="AW39" i="49"/>
  <c r="AW99" i="49"/>
  <c r="AW60" i="49"/>
  <c r="AW32" i="49"/>
  <c r="AW61" i="49"/>
  <c r="AW36" i="49"/>
  <c r="AW124" i="49"/>
  <c r="AW38" i="49"/>
  <c r="AW34" i="49"/>
  <c r="F33" i="47"/>
  <c r="F216" i="47"/>
  <c r="F109" i="47"/>
  <c r="F202" i="47"/>
  <c r="F72" i="47"/>
  <c r="F90" i="47"/>
  <c r="F94" i="47"/>
  <c r="F66" i="47"/>
  <c r="F71" i="47"/>
  <c r="F236" i="47"/>
  <c r="F257" i="47"/>
  <c r="F148" i="47"/>
  <c r="F17" i="47"/>
  <c r="F174" i="47"/>
  <c r="F215" i="47"/>
  <c r="F266" i="47"/>
  <c r="F221" i="47"/>
  <c r="F103" i="47"/>
  <c r="F205" i="47"/>
  <c r="F15" i="47"/>
  <c r="F35" i="47"/>
  <c r="F43" i="47"/>
  <c r="F152" i="47"/>
  <c r="F38" i="47"/>
  <c r="F264" i="47"/>
  <c r="F55" i="47"/>
  <c r="F11" i="47"/>
  <c r="F138" i="47"/>
  <c r="F28" i="47"/>
  <c r="F234" i="47"/>
  <c r="AJ154" i="47"/>
  <c r="AJ243" i="47"/>
  <c r="AJ205" i="47"/>
  <c r="AJ144" i="47"/>
  <c r="AJ137" i="47"/>
  <c r="AJ25" i="47"/>
  <c r="AJ105" i="47"/>
  <c r="AJ73" i="47"/>
  <c r="AJ214" i="47"/>
  <c r="AJ197" i="47"/>
  <c r="AJ213" i="47"/>
  <c r="AJ17" i="47"/>
  <c r="AJ128" i="47"/>
  <c r="AJ96" i="47"/>
  <c r="AJ177" i="47"/>
  <c r="AJ252" i="47"/>
  <c r="AJ33" i="47"/>
  <c r="AJ58" i="47"/>
  <c r="AJ22" i="47"/>
  <c r="AJ257" i="47"/>
  <c r="AJ24" i="47"/>
  <c r="AJ188" i="47"/>
  <c r="AJ43" i="47"/>
  <c r="AJ67" i="47"/>
  <c r="AJ109" i="47"/>
  <c r="AJ124" i="47"/>
  <c r="AJ136" i="47"/>
  <c r="AJ156" i="47"/>
  <c r="AJ261" i="47"/>
  <c r="AJ163" i="47"/>
  <c r="AJ116" i="47"/>
  <c r="AJ153" i="47"/>
  <c r="AJ208" i="47"/>
  <c r="AJ258" i="47"/>
  <c r="F53" i="47"/>
  <c r="F40" i="47"/>
  <c r="F209" i="47"/>
  <c r="F237" i="47"/>
  <c r="F177" i="47"/>
  <c r="F124" i="47"/>
  <c r="F27" i="47"/>
  <c r="D5" i="47"/>
  <c r="D4" i="47"/>
  <c r="D6" i="47"/>
  <c r="B32" i="19"/>
  <c r="T168" i="47"/>
  <c r="T146" i="47"/>
  <c r="T212" i="47"/>
  <c r="T260" i="47"/>
  <c r="T248" i="47"/>
  <c r="T71" i="47"/>
  <c r="T218" i="47"/>
  <c r="T61" i="47"/>
  <c r="T233" i="47"/>
  <c r="T258" i="47"/>
  <c r="T24" i="47"/>
  <c r="T187" i="47"/>
  <c r="T85" i="47"/>
  <c r="T141" i="47"/>
  <c r="T112" i="47"/>
  <c r="T265" i="47"/>
  <c r="T44" i="47"/>
  <c r="T70" i="47"/>
  <c r="T166" i="47"/>
  <c r="T222" i="47"/>
  <c r="T267" i="47"/>
  <c r="T177" i="47"/>
  <c r="T113" i="47"/>
  <c r="T78" i="47"/>
  <c r="T204" i="47"/>
  <c r="T125" i="47"/>
  <c r="T145" i="47"/>
  <c r="T219" i="47"/>
  <c r="T107" i="47"/>
  <c r="T69" i="47"/>
  <c r="T31" i="47"/>
  <c r="T96" i="47"/>
  <c r="T247" i="47"/>
  <c r="T228" i="47"/>
  <c r="T120" i="47"/>
  <c r="T56" i="47"/>
  <c r="T38" i="47"/>
  <c r="T97" i="47"/>
  <c r="T45" i="47"/>
  <c r="T235" i="47"/>
  <c r="T150" i="47"/>
  <c r="T134" i="47"/>
  <c r="T111" i="47"/>
  <c r="T30" i="47"/>
  <c r="T7" i="47"/>
  <c r="T81" i="47"/>
  <c r="T242" i="47"/>
  <c r="T5" i="47"/>
  <c r="T33" i="47"/>
  <c r="T181" i="47"/>
  <c r="T224" i="47"/>
  <c r="T241" i="47"/>
  <c r="T264" i="47"/>
  <c r="T169" i="47"/>
  <c r="T58" i="47"/>
  <c r="T159" i="47"/>
  <c r="T148" i="47"/>
  <c r="T190" i="47"/>
  <c r="T178" i="47"/>
  <c r="T184" i="47"/>
  <c r="T245" i="47"/>
  <c r="T86" i="47"/>
  <c r="T101" i="47"/>
  <c r="T17" i="47"/>
  <c r="T161" i="47"/>
  <c r="T15" i="47"/>
  <c r="T49" i="47"/>
  <c r="T133" i="47"/>
  <c r="T117" i="47"/>
  <c r="T270" i="47"/>
  <c r="T262" i="47"/>
  <c r="T109" i="47"/>
  <c r="T32" i="47"/>
  <c r="T253" i="47"/>
  <c r="T273" i="47"/>
  <c r="T171" i="47"/>
  <c r="T99" i="47"/>
  <c r="T135" i="47"/>
  <c r="T246" i="47"/>
  <c r="T129" i="47"/>
  <c r="T66" i="47"/>
  <c r="T122" i="47"/>
  <c r="T255" i="47"/>
  <c r="T230" i="47"/>
  <c r="T47" i="47"/>
  <c r="T144" i="47"/>
  <c r="T65" i="47"/>
  <c r="T39" i="47"/>
  <c r="T188" i="47"/>
  <c r="T105" i="47"/>
  <c r="T79" i="47"/>
  <c r="T276" i="47"/>
  <c r="T130" i="47"/>
  <c r="T12" i="47"/>
  <c r="T21" i="47"/>
  <c r="T68" i="47"/>
  <c r="T4" i="47"/>
  <c r="T238" i="47"/>
  <c r="T226" i="47"/>
  <c r="T22" i="47"/>
  <c r="T239" i="47"/>
  <c r="T80" i="47"/>
  <c r="T82" i="47"/>
  <c r="T84" i="47"/>
  <c r="T110" i="47"/>
  <c r="T259" i="47"/>
  <c r="T217" i="47"/>
  <c r="T227" i="47"/>
  <c r="T154" i="47"/>
  <c r="T142" i="47"/>
  <c r="T220" i="47"/>
  <c r="T46" i="47"/>
  <c r="T90" i="47"/>
  <c r="T163" i="47"/>
  <c r="T200" i="47"/>
  <c r="T172" i="47"/>
  <c r="T186" i="47"/>
  <c r="T152" i="47"/>
  <c r="T60" i="47"/>
  <c r="T42" i="47"/>
  <c r="T162" i="47"/>
  <c r="T201" i="47"/>
  <c r="T126" i="47"/>
  <c r="T205" i="47"/>
  <c r="T35" i="47"/>
  <c r="T114" i="47"/>
  <c r="T234" i="47"/>
  <c r="T34" i="47"/>
  <c r="T256" i="47"/>
  <c r="T131" i="47"/>
  <c r="T268" i="47"/>
  <c r="T29" i="47"/>
  <c r="T170" i="47"/>
  <c r="T16" i="47"/>
  <c r="T214" i="47"/>
  <c r="T138" i="47"/>
  <c r="T10" i="47"/>
  <c r="T274" i="47"/>
  <c r="T3" i="47"/>
  <c r="T175" i="47"/>
  <c r="T92" i="47"/>
  <c r="T193" i="47"/>
  <c r="T123" i="47"/>
  <c r="T160" i="47"/>
  <c r="T158" i="47"/>
  <c r="T211" i="47"/>
  <c r="T185" i="47"/>
  <c r="T240" i="47"/>
  <c r="T23" i="47"/>
  <c r="T195" i="47"/>
  <c r="T48" i="47"/>
  <c r="T250" i="47"/>
  <c r="T98" i="47"/>
  <c r="T257" i="47"/>
  <c r="T278" i="47"/>
  <c r="T108" i="47"/>
  <c r="T147" i="47"/>
  <c r="T103" i="47"/>
  <c r="T72" i="47"/>
  <c r="T149" i="47"/>
  <c r="T55" i="47"/>
  <c r="T254" i="47"/>
  <c r="T280" i="47"/>
  <c r="T36" i="47"/>
  <c r="T223" i="47"/>
  <c r="T229" i="47"/>
  <c r="T27" i="47"/>
  <c r="T100" i="47"/>
  <c r="T176" i="47"/>
  <c r="T271" i="47"/>
  <c r="T20" i="47"/>
  <c r="T277" i="47"/>
  <c r="T106" i="47"/>
  <c r="T74" i="47"/>
  <c r="T53" i="47"/>
  <c r="T77" i="47"/>
  <c r="T173" i="47"/>
  <c r="T73" i="47"/>
  <c r="T225" i="47"/>
  <c r="T19" i="47"/>
  <c r="T37" i="47"/>
  <c r="T115" i="47"/>
  <c r="T87" i="47"/>
  <c r="T124" i="47"/>
  <c r="T139" i="47"/>
  <c r="T89" i="47"/>
  <c r="T137" i="47"/>
  <c r="T272" i="47"/>
  <c r="T208" i="47"/>
  <c r="T207" i="47"/>
  <c r="T198" i="47"/>
  <c r="T11" i="47"/>
  <c r="T210" i="47"/>
  <c r="T62" i="47"/>
  <c r="T140" i="47"/>
  <c r="B32" i="18"/>
  <c r="AH91" i="47"/>
  <c r="AH3" i="47"/>
  <c r="Q13" i="1"/>
  <c r="P16" i="1"/>
  <c r="A5" i="49"/>
  <c r="A6" i="49"/>
  <c r="B31" i="18"/>
  <c r="B33" i="19"/>
  <c r="B30" i="18"/>
  <c r="B31" i="19"/>
  <c r="B39" i="19"/>
  <c r="B30" i="19"/>
  <c r="B33" i="18"/>
  <c r="E7" i="50"/>
  <c r="E11" i="50" s="1"/>
  <c r="E18" i="26"/>
  <c r="E133" i="32" a="1"/>
  <c r="E133" i="32" s="1"/>
  <c r="F141" i="32" s="1"/>
  <c r="J18" i="26"/>
  <c r="E132" i="36"/>
  <c r="E134" i="36" s="1"/>
  <c r="F138" i="36" s="1"/>
  <c r="E11" i="48"/>
  <c r="E13" i="48" s="1"/>
  <c r="F9" i="45" a="1"/>
  <c r="F9" i="45" s="1"/>
  <c r="F128" i="34" a="1"/>
  <c r="F128" i="34" s="1"/>
  <c r="F130" i="34" s="1"/>
  <c r="F132" i="34" s="1"/>
  <c r="F137" i="34" s="1"/>
  <c r="G32" i="13"/>
  <c r="J10" i="48"/>
  <c r="F8" i="50"/>
  <c r="J129" i="36"/>
  <c r="G11" i="48"/>
  <c r="G13" i="48" s="1"/>
  <c r="J127" i="34"/>
  <c r="F11" i="48"/>
  <c r="F13" i="48" s="1"/>
  <c r="E130" i="34"/>
  <c r="E132" i="34" s="1"/>
  <c r="F136" i="34" s="1"/>
  <c r="F132" i="36"/>
  <c r="F134" i="36" s="1"/>
  <c r="F139" i="36" s="1"/>
  <c r="F7" i="50"/>
  <c r="F13" i="50" s="1"/>
  <c r="F15" i="50" s="1"/>
  <c r="G133" i="38"/>
  <c r="G135" i="38" s="1"/>
  <c r="F141" i="38" s="1"/>
  <c r="F140" i="36"/>
  <c r="G9" i="45" a="1"/>
  <c r="G9" i="45" s="1"/>
  <c r="A132" i="43"/>
  <c r="A222" i="43"/>
  <c r="A49" i="43"/>
  <c r="A191" i="43"/>
  <c r="A89" i="43"/>
  <c r="A42" i="43"/>
  <c r="A150" i="43"/>
  <c r="A139" i="43"/>
  <c r="A118" i="43"/>
  <c r="A28" i="43"/>
  <c r="A202" i="43"/>
  <c r="A95" i="43"/>
  <c r="A45" i="43"/>
  <c r="A47" i="43"/>
  <c r="A129" i="43"/>
  <c r="A120" i="43"/>
  <c r="A41" i="43"/>
  <c r="A122" i="43"/>
  <c r="A136" i="43"/>
  <c r="A185" i="43"/>
  <c r="A168" i="43"/>
  <c r="A37" i="43"/>
  <c r="A140" i="43"/>
  <c r="A158" i="43"/>
  <c r="A130" i="43"/>
  <c r="A216" i="43"/>
  <c r="A58" i="43"/>
  <c r="A114" i="43"/>
  <c r="A194" i="43"/>
  <c r="A68" i="43"/>
  <c r="A192" i="43"/>
  <c r="A173" i="43"/>
  <c r="A183" i="43"/>
  <c r="A110" i="43"/>
  <c r="A20" i="43"/>
  <c r="A65" i="43"/>
  <c r="A231" i="43"/>
  <c r="A179" i="43"/>
  <c r="A86" i="43"/>
  <c r="A33" i="43"/>
  <c r="A225" i="43"/>
  <c r="A172" i="43"/>
  <c r="A230" i="43"/>
  <c r="A96" i="43"/>
  <c r="A163" i="43"/>
  <c r="A66" i="43"/>
  <c r="A233" i="43"/>
  <c r="A106" i="43"/>
  <c r="A17" i="43"/>
  <c r="A98" i="43"/>
  <c r="A80" i="43"/>
  <c r="A153" i="43"/>
  <c r="A105" i="43"/>
  <c r="A239" i="43"/>
  <c r="A170" i="43"/>
  <c r="A100" i="43"/>
  <c r="A61" i="43"/>
  <c r="A184" i="43"/>
  <c r="A164" i="43"/>
  <c r="A11" i="43"/>
  <c r="A91" i="43"/>
  <c r="A56" i="43"/>
  <c r="A84" i="43"/>
  <c r="A131" i="43"/>
  <c r="A70" i="43"/>
  <c r="A149" i="43"/>
  <c r="A5" i="43"/>
  <c r="A224" i="43"/>
  <c r="A169" i="43"/>
  <c r="A190" i="43"/>
  <c r="A26" i="43"/>
  <c r="A195" i="43"/>
  <c r="A187" i="43"/>
  <c r="A31" i="43"/>
  <c r="A77" i="43"/>
  <c r="A220" i="43"/>
  <c r="A240" i="43"/>
  <c r="A53" i="43"/>
  <c r="A108" i="43"/>
  <c r="A8" i="43"/>
  <c r="A104" i="43"/>
  <c r="A35" i="43"/>
  <c r="A60" i="43"/>
  <c r="A34" i="43"/>
  <c r="A57" i="43"/>
  <c r="A180" i="43"/>
  <c r="A159" i="43"/>
  <c r="A206" i="43"/>
  <c r="A54" i="43"/>
  <c r="A219" i="43"/>
  <c r="A71" i="43"/>
  <c r="A236" i="43"/>
  <c r="A14" i="43"/>
  <c r="A113" i="43"/>
  <c r="A52" i="43"/>
  <c r="A97" i="43"/>
  <c r="A157" i="43"/>
  <c r="A218" i="43"/>
  <c r="A15" i="43"/>
  <c r="A213" i="43"/>
  <c r="A207" i="43"/>
  <c r="A101" i="43"/>
  <c r="A74" i="43"/>
  <c r="A18" i="43"/>
  <c r="A21" i="43"/>
  <c r="A235" i="43"/>
  <c r="A13" i="43"/>
  <c r="A116" i="43"/>
  <c r="A142" i="43"/>
  <c r="A188" i="43"/>
  <c r="A221" i="43"/>
  <c r="A176" i="43"/>
  <c r="A115" i="43"/>
  <c r="A155" i="43"/>
  <c r="A135" i="43"/>
  <c r="A43" i="43"/>
  <c r="A12" i="43"/>
  <c r="A4" i="43"/>
  <c r="A214" i="43"/>
  <c r="A48" i="43"/>
  <c r="A151" i="43"/>
  <c r="A196" i="43"/>
  <c r="A103" i="43"/>
  <c r="A29" i="43"/>
  <c r="A156" i="43"/>
  <c r="A7" i="43"/>
  <c r="A211" i="43"/>
  <c r="A143" i="43"/>
  <c r="A83" i="43"/>
  <c r="A90" i="43"/>
  <c r="A198" i="43"/>
  <c r="A39" i="43"/>
  <c r="A141" i="43"/>
  <c r="A50" i="43"/>
  <c r="A175" i="43"/>
  <c r="A23" i="43"/>
  <c r="A92" i="43"/>
  <c r="A193" i="43"/>
  <c r="A181" i="43"/>
  <c r="A234" i="43"/>
  <c r="A217" i="43"/>
  <c r="A203" i="43"/>
  <c r="A117" i="43"/>
  <c r="A6" i="43"/>
  <c r="A109" i="43"/>
  <c r="A119" i="43"/>
  <c r="A102" i="43"/>
  <c r="A112" i="43"/>
  <c r="A85" i="43"/>
  <c r="A145" i="43"/>
  <c r="A178" i="43"/>
  <c r="A79" i="43"/>
  <c r="A238" i="43"/>
  <c r="A62" i="43"/>
  <c r="A228" i="43"/>
  <c r="A123" i="43"/>
  <c r="A167" i="43"/>
  <c r="A127" i="43"/>
  <c r="A204" i="43"/>
  <c r="A182" i="43"/>
  <c r="A177" i="43"/>
  <c r="A124" i="43"/>
  <c r="A174" i="43"/>
  <c r="A111" i="43"/>
  <c r="A154" i="43"/>
  <c r="A134" i="43"/>
  <c r="A93" i="43"/>
  <c r="A199" i="43"/>
  <c r="A126" i="43"/>
  <c r="A138" i="43"/>
  <c r="A72" i="43"/>
  <c r="A78" i="43"/>
  <c r="A107" i="43"/>
  <c r="A223" i="43"/>
  <c r="A87" i="43"/>
  <c r="A226" i="43"/>
  <c r="A51" i="43"/>
  <c r="A46" i="43"/>
  <c r="A24" i="43"/>
  <c r="A44" i="43"/>
  <c r="A146" i="43"/>
  <c r="A128" i="43"/>
  <c r="A201" i="43"/>
  <c r="A38" i="43"/>
  <c r="A215" i="43"/>
  <c r="A161" i="43"/>
  <c r="A121" i="43"/>
  <c r="A133" i="43"/>
  <c r="A64" i="43"/>
  <c r="A9" i="43"/>
  <c r="A88" i="43"/>
  <c r="A229" i="43"/>
  <c r="A75" i="43"/>
  <c r="A27" i="43"/>
  <c r="A40" i="43"/>
  <c r="A237" i="43"/>
  <c r="A171" i="43"/>
  <c r="A67" i="43"/>
  <c r="A208" i="43"/>
  <c r="A210" i="43"/>
  <c r="A73" i="43"/>
  <c r="A186" i="43"/>
  <c r="A63" i="43"/>
  <c r="A25" i="43"/>
  <c r="A232" i="43"/>
  <c r="A148" i="43"/>
  <c r="A55" i="43"/>
  <c r="A197" i="43"/>
  <c r="A165" i="43"/>
  <c r="AO2" i="43"/>
  <c r="A81" i="43"/>
  <c r="A209" i="43"/>
  <c r="A82" i="43"/>
  <c r="A205" i="43"/>
  <c r="A76" i="43"/>
  <c r="A10" i="43"/>
  <c r="A160" i="43"/>
  <c r="A166" i="43"/>
  <c r="A227" i="43"/>
  <c r="A69" i="43"/>
  <c r="A99" i="43"/>
  <c r="A22" i="43"/>
  <c r="A94" i="43"/>
  <c r="A152" i="43"/>
  <c r="A30" i="43"/>
  <c r="A137" i="43"/>
  <c r="A144" i="43"/>
  <c r="A125" i="43"/>
  <c r="A200" i="43"/>
  <c r="A19" i="43"/>
  <c r="A147" i="43"/>
  <c r="A16" i="43"/>
  <c r="A32" i="43"/>
  <c r="A189" i="43"/>
  <c r="A36" i="43"/>
  <c r="A212" i="43"/>
  <c r="A162" i="43"/>
  <c r="A59" i="43"/>
  <c r="Q71" i="43"/>
  <c r="Q65" i="43"/>
  <c r="Q31" i="43"/>
  <c r="Q201" i="43"/>
  <c r="Q81" i="43"/>
  <c r="Q140" i="43"/>
  <c r="Q113" i="43"/>
  <c r="Q158" i="43"/>
  <c r="Q128" i="43"/>
  <c r="Q129" i="43"/>
  <c r="Q72" i="43"/>
  <c r="Q39" i="43"/>
  <c r="Q6" i="43"/>
  <c r="Q41" i="43"/>
  <c r="Q124" i="43"/>
  <c r="Q199" i="43"/>
  <c r="Q114" i="43"/>
  <c r="Q238" i="43"/>
  <c r="Q53" i="43"/>
  <c r="Q208" i="43"/>
  <c r="Q136" i="43"/>
  <c r="Q132" i="43"/>
  <c r="Q226" i="43"/>
  <c r="Q23" i="43"/>
  <c r="Q14" i="43"/>
  <c r="Q183" i="43"/>
  <c r="Q144" i="43"/>
  <c r="Q36" i="43"/>
  <c r="Q18" i="43"/>
  <c r="Q40" i="43"/>
  <c r="Q172" i="43"/>
  <c r="Q97" i="43"/>
  <c r="Q189" i="43"/>
  <c r="Q185" i="43"/>
  <c r="Q63" i="43"/>
  <c r="Q240" i="43"/>
  <c r="Q87" i="43"/>
  <c r="Q98" i="43"/>
  <c r="Q154" i="43"/>
  <c r="Q125" i="43"/>
  <c r="Q119" i="43"/>
  <c r="Q28" i="43"/>
  <c r="Q11" i="43"/>
  <c r="Q130" i="43"/>
  <c r="Q161" i="43"/>
  <c r="Q109" i="43"/>
  <c r="Q207" i="43"/>
  <c r="Q162" i="43"/>
  <c r="Q193" i="43"/>
  <c r="Q120" i="43"/>
  <c r="Q42" i="43"/>
  <c r="Q155" i="43"/>
  <c r="Q10" i="43"/>
  <c r="Q197" i="43"/>
  <c r="Q55" i="43"/>
  <c r="Q234" i="43"/>
  <c r="Q175" i="43"/>
  <c r="Q4" i="43"/>
  <c r="Q137" i="43"/>
  <c r="Q198" i="43"/>
  <c r="Q70" i="43"/>
  <c r="Q141" i="43"/>
  <c r="Q25" i="43"/>
  <c r="Q26" i="43"/>
  <c r="Q230" i="43"/>
  <c r="Q80" i="43"/>
  <c r="Q74" i="43"/>
  <c r="Q217" i="43"/>
  <c r="Q156" i="43"/>
  <c r="Q151" i="43"/>
  <c r="Q143" i="43"/>
  <c r="Q149" i="43"/>
  <c r="Q37" i="43"/>
  <c r="Q29" i="43"/>
  <c r="Q235" i="43"/>
  <c r="Q219" i="43"/>
  <c r="Q135" i="43"/>
  <c r="Q50" i="43"/>
  <c r="Q171" i="43"/>
  <c r="Q122" i="43"/>
  <c r="Q82" i="43"/>
  <c r="Q8" i="43"/>
  <c r="Q160" i="43"/>
  <c r="Q108" i="43"/>
  <c r="Q58" i="43"/>
  <c r="Q168" i="43"/>
  <c r="Q33" i="43"/>
  <c r="Q180" i="43"/>
  <c r="Q196" i="43"/>
  <c r="Q181" i="43"/>
  <c r="Q209" i="43"/>
  <c r="Q212" i="43"/>
  <c r="Q195" i="43"/>
  <c r="Q68" i="43"/>
  <c r="Q106" i="43"/>
  <c r="Q221" i="43"/>
  <c r="Q213" i="43"/>
  <c r="Q131" i="43"/>
  <c r="Q73" i="43"/>
  <c r="Q167" i="43"/>
  <c r="Q46" i="43"/>
  <c r="Q202" i="43"/>
  <c r="Q200" i="43"/>
  <c r="Q165" i="43"/>
  <c r="Q233" i="43"/>
  <c r="Q96" i="43"/>
  <c r="Q169" i="43"/>
  <c r="Q121" i="43"/>
  <c r="Q187" i="43"/>
  <c r="Q90" i="43"/>
  <c r="Q188" i="43"/>
  <c r="Q89" i="43"/>
  <c r="Q103" i="43"/>
  <c r="Q100" i="43"/>
  <c r="Q216" i="43"/>
  <c r="Q51" i="43"/>
  <c r="Q45" i="43"/>
  <c r="Q43" i="43"/>
  <c r="Q215" i="43"/>
  <c r="Q22" i="43"/>
  <c r="Q17" i="43"/>
  <c r="Q92" i="43"/>
  <c r="Q220" i="43"/>
  <c r="Q21" i="43"/>
  <c r="Q76" i="43"/>
  <c r="Q3" i="43"/>
  <c r="Q111" i="43"/>
  <c r="Q225" i="43"/>
  <c r="Q159" i="43"/>
  <c r="Q104" i="43"/>
  <c r="Q93" i="43"/>
  <c r="Q237" i="43"/>
  <c r="Q133" i="43"/>
  <c r="Q191" i="43"/>
  <c r="Q54" i="43"/>
  <c r="Q77" i="43"/>
  <c r="Q138" i="43"/>
  <c r="Q142" i="43"/>
  <c r="Q78" i="43"/>
  <c r="Q57" i="43"/>
  <c r="Q20" i="43"/>
  <c r="Q174" i="43"/>
  <c r="Q34" i="43"/>
  <c r="Q123" i="43"/>
  <c r="Q52" i="43"/>
  <c r="Q95" i="43"/>
  <c r="Q214" i="43"/>
  <c r="Q178" i="43"/>
  <c r="Q79" i="43"/>
  <c r="Q67" i="43"/>
  <c r="Q182" i="43"/>
  <c r="Q184" i="43"/>
  <c r="Q229" i="43"/>
  <c r="Q62" i="43"/>
  <c r="Q94" i="43"/>
  <c r="Q115" i="43"/>
  <c r="Q190" i="43"/>
  <c r="Q91" i="43"/>
  <c r="Q7" i="43"/>
  <c r="Q179" i="43"/>
  <c r="Q134" i="43"/>
  <c r="Q84" i="43"/>
  <c r="Q222" i="43"/>
  <c r="Q44" i="43"/>
  <c r="Q48" i="43"/>
  <c r="Q110" i="43"/>
  <c r="Q16" i="43"/>
  <c r="Q145" i="43"/>
  <c r="Q152" i="43"/>
  <c r="Q146" i="43"/>
  <c r="Q64" i="43"/>
  <c r="Q223" i="43"/>
  <c r="Q12" i="43"/>
  <c r="Q232" i="43"/>
  <c r="Q86" i="43"/>
  <c r="Q9" i="43"/>
  <c r="Q88" i="43"/>
  <c r="Q107" i="43"/>
  <c r="Q126" i="43"/>
  <c r="Q27" i="43"/>
  <c r="Q218" i="43"/>
  <c r="Q117" i="43"/>
  <c r="Q66" i="43"/>
  <c r="Q47" i="43"/>
  <c r="Q231" i="43"/>
  <c r="Q69" i="43"/>
  <c r="Q147" i="43"/>
  <c r="Q139" i="43"/>
  <c r="Q170" i="43"/>
  <c r="Q105" i="43"/>
  <c r="Q83" i="43"/>
  <c r="Q150" i="43"/>
  <c r="Q75" i="43"/>
  <c r="Q210" i="43"/>
  <c r="Q228" i="43"/>
  <c r="Q239" i="43"/>
  <c r="Q56" i="43"/>
  <c r="Q24" i="43"/>
  <c r="Q118" i="43"/>
  <c r="Q236" i="43"/>
  <c r="Q173" i="43"/>
  <c r="Q60" i="43"/>
  <c r="Q59" i="43"/>
  <c r="Q19" i="43"/>
  <c r="Q211" i="43"/>
  <c r="Q177" i="43"/>
  <c r="Q176" i="43"/>
  <c r="Q192" i="43"/>
  <c r="Q101" i="43"/>
  <c r="Q112" i="43"/>
  <c r="Q35" i="43"/>
  <c r="Q61" i="43"/>
  <c r="Q186" i="43"/>
  <c r="Q206" i="43"/>
  <c r="Q5" i="43"/>
  <c r="Q99" i="43"/>
  <c r="Q15" i="43"/>
  <c r="Q166" i="43"/>
  <c r="Q32" i="43"/>
  <c r="Q116" i="43"/>
  <c r="Q85" i="43"/>
  <c r="Q224" i="43"/>
  <c r="Q157" i="43"/>
  <c r="Q148" i="43"/>
  <c r="Q127" i="43"/>
  <c r="Q102" i="43"/>
  <c r="Q163" i="43"/>
  <c r="Q205" i="43"/>
  <c r="Q153" i="43"/>
  <c r="Q164" i="43"/>
  <c r="Q38" i="43"/>
  <c r="Q203" i="43"/>
  <c r="Q30" i="43"/>
  <c r="Q204" i="43"/>
  <c r="Q194" i="43"/>
  <c r="Q49" i="43"/>
  <c r="Q227" i="43"/>
  <c r="Q13" i="43"/>
  <c r="J8" i="45"/>
  <c r="V205" i="47"/>
  <c r="V191" i="47"/>
  <c r="V99" i="47"/>
  <c r="V257" i="47"/>
  <c r="V75" i="47"/>
  <c r="V83" i="47"/>
  <c r="V208" i="47"/>
  <c r="V231" i="47"/>
  <c r="V142" i="47"/>
  <c r="V101" i="47"/>
  <c r="V120" i="47"/>
  <c r="V195" i="47"/>
  <c r="V212" i="47"/>
  <c r="V178" i="47"/>
  <c r="V182" i="47"/>
  <c r="V119" i="47"/>
  <c r="V107" i="47"/>
  <c r="V127" i="47"/>
  <c r="V246" i="47"/>
  <c r="V8" i="47"/>
  <c r="V240" i="47"/>
  <c r="V25" i="47"/>
  <c r="V66" i="47"/>
  <c r="V227" i="47"/>
  <c r="V91" i="47"/>
  <c r="V185" i="47"/>
  <c r="V238" i="47"/>
  <c r="V79" i="47"/>
  <c r="V88" i="47"/>
  <c r="V47" i="47"/>
  <c r="V106" i="47"/>
  <c r="V261" i="47"/>
  <c r="V129" i="47"/>
  <c r="V187" i="47"/>
  <c r="V223" i="47"/>
  <c r="V155" i="47"/>
  <c r="V171" i="47"/>
  <c r="V209" i="47"/>
  <c r="V255" i="47"/>
  <c r="V105" i="47"/>
  <c r="V169" i="47"/>
  <c r="V135" i="47"/>
  <c r="V252" i="47"/>
  <c r="V89" i="47"/>
  <c r="V92" i="47"/>
  <c r="V256" i="47"/>
  <c r="V33" i="47"/>
  <c r="V216" i="47"/>
  <c r="V28" i="47"/>
  <c r="V143" i="47"/>
  <c r="V56" i="47"/>
  <c r="V232" i="47"/>
  <c r="V58" i="47"/>
  <c r="V110" i="47"/>
  <c r="V199" i="47"/>
  <c r="V133" i="47"/>
  <c r="V270" i="47"/>
  <c r="V158" i="47"/>
  <c r="V197" i="47"/>
  <c r="V45" i="47"/>
  <c r="V121" i="47"/>
  <c r="V22" i="47"/>
  <c r="V65" i="47"/>
  <c r="V151" i="47"/>
  <c r="V30" i="47"/>
  <c r="V184" i="47"/>
  <c r="V215" i="47"/>
  <c r="V152" i="47"/>
  <c r="V86" i="47"/>
  <c r="V71" i="47"/>
  <c r="V271" i="47"/>
  <c r="V131" i="47"/>
  <c r="V123" i="47"/>
  <c r="V146" i="47"/>
  <c r="V150" i="47"/>
  <c r="V277" i="47"/>
  <c r="V44" i="47"/>
  <c r="V229" i="47"/>
  <c r="V14" i="47"/>
  <c r="V193" i="47"/>
  <c r="V40" i="47"/>
  <c r="V63" i="47"/>
  <c r="V137" i="47"/>
  <c r="V149" i="47"/>
  <c r="V175" i="47"/>
  <c r="V111" i="47"/>
  <c r="V183" i="47"/>
  <c r="V203" i="47"/>
  <c r="V74" i="47"/>
  <c r="V50" i="47"/>
  <c r="V4" i="47"/>
  <c r="V46" i="47"/>
  <c r="V275" i="47"/>
  <c r="V269" i="47"/>
  <c r="V6" i="47"/>
  <c r="V194" i="47"/>
  <c r="V132" i="47"/>
  <c r="V170" i="47"/>
  <c r="V239" i="47"/>
  <c r="V204" i="47"/>
  <c r="V73" i="47"/>
  <c r="V196" i="47"/>
  <c r="V9" i="47"/>
  <c r="V164" i="47"/>
  <c r="V225" i="47"/>
  <c r="V31" i="47"/>
  <c r="V70" i="47"/>
  <c r="V60" i="47"/>
  <c r="V77" i="47"/>
  <c r="V157" i="47"/>
  <c r="V26" i="47"/>
  <c r="V124" i="47"/>
  <c r="V29" i="47"/>
  <c r="V115" i="47"/>
  <c r="V12" i="47"/>
  <c r="V112" i="47"/>
  <c r="V82" i="47"/>
  <c r="V253" i="47"/>
  <c r="V64" i="47"/>
  <c r="V109" i="47"/>
  <c r="V260" i="47"/>
  <c r="V249" i="47"/>
  <c r="V153" i="47"/>
  <c r="V162" i="47"/>
  <c r="V94" i="47"/>
  <c r="V80" i="47"/>
  <c r="V76" i="47"/>
  <c r="V114" i="47"/>
  <c r="V166" i="47"/>
  <c r="V154" i="47"/>
  <c r="V219" i="47"/>
  <c r="V59" i="47"/>
  <c r="V134" i="47"/>
  <c r="V48" i="47"/>
  <c r="V267" i="47"/>
  <c r="V32" i="47"/>
  <c r="V130" i="47"/>
  <c r="V21" i="47"/>
  <c r="V266" i="47"/>
  <c r="V165" i="47"/>
  <c r="V192" i="47"/>
  <c r="V259" i="47"/>
  <c r="V141" i="47"/>
  <c r="V68" i="47"/>
  <c r="V210" i="47"/>
  <c r="V3" i="47"/>
  <c r="V42" i="47"/>
  <c r="V108" i="47"/>
  <c r="V160" i="47"/>
  <c r="V139" i="47"/>
  <c r="V161" i="47"/>
  <c r="V96" i="47"/>
  <c r="V38" i="47"/>
  <c r="V57" i="47"/>
  <c r="V226" i="47"/>
  <c r="V163" i="47"/>
  <c r="V217" i="47"/>
  <c r="V39" i="47"/>
  <c r="V103" i="47"/>
  <c r="V7" i="47"/>
  <c r="V10" i="47"/>
  <c r="V34" i="47"/>
  <c r="V37" i="47"/>
  <c r="V51" i="47"/>
  <c r="V245" i="47"/>
  <c r="V235" i="47"/>
  <c r="V84" i="47"/>
  <c r="V221" i="47"/>
  <c r="V243" i="47"/>
  <c r="V144" i="47"/>
  <c r="V200" i="47"/>
  <c r="V43" i="47"/>
  <c r="V280" i="47"/>
  <c r="V19" i="47"/>
  <c r="V244" i="47"/>
  <c r="V69" i="47"/>
  <c r="V188" i="47"/>
  <c r="V104" i="47"/>
  <c r="V159" i="47"/>
  <c r="V263" i="47"/>
  <c r="V67" i="47"/>
  <c r="V97" i="47"/>
  <c r="V23" i="47"/>
  <c r="V117" i="47"/>
  <c r="V189" i="47"/>
  <c r="V55" i="47"/>
  <c r="V13" i="47"/>
  <c r="V248" i="47"/>
  <c r="V145" i="47"/>
  <c r="V5" i="47"/>
  <c r="V100" i="47"/>
  <c r="V264" i="47"/>
  <c r="V173" i="47"/>
  <c r="V230" i="47"/>
  <c r="V138" i="47"/>
  <c r="V116" i="47"/>
  <c r="V11" i="47"/>
  <c r="V15" i="47"/>
  <c r="V36" i="47"/>
  <c r="V180" i="47"/>
  <c r="V18" i="47"/>
  <c r="V17" i="47"/>
  <c r="V179" i="47"/>
  <c r="V220" i="47"/>
  <c r="V98" i="47"/>
  <c r="V81" i="47"/>
  <c r="V265" i="47"/>
  <c r="V262" i="47"/>
  <c r="V122" i="47"/>
  <c r="V218" i="47"/>
  <c r="V268" i="47"/>
  <c r="V241" i="47"/>
  <c r="V237" i="47"/>
  <c r="V27" i="47"/>
  <c r="V128" i="47"/>
  <c r="V49" i="47"/>
  <c r="V168" i="47"/>
  <c r="V35" i="47"/>
  <c r="V16" i="47"/>
  <c r="V247" i="47"/>
  <c r="V213" i="47"/>
  <c r="V72" i="47"/>
  <c r="V148" i="47"/>
  <c r="V54" i="47"/>
  <c r="V52" i="47"/>
  <c r="V125" i="47"/>
  <c r="V24" i="47"/>
  <c r="V273" i="47"/>
  <c r="V206" i="47"/>
  <c r="V214" i="47"/>
  <c r="V272" i="47"/>
  <c r="V181" i="47"/>
  <c r="V118" i="47"/>
  <c r="V279" i="47"/>
  <c r="V211" i="47"/>
  <c r="V177" i="47"/>
  <c r="V126" i="47"/>
  <c r="V222" i="47"/>
  <c r="V258" i="47"/>
  <c r="V250" i="47"/>
  <c r="V113" i="47"/>
  <c r="V176" i="47"/>
  <c r="V90" i="47"/>
  <c r="V62" i="47"/>
  <c r="V102" i="47"/>
  <c r="V167" i="47"/>
  <c r="V140" i="47"/>
  <c r="V20" i="47"/>
  <c r="V61" i="47"/>
  <c r="V233" i="47"/>
  <c r="V85" i="47"/>
  <c r="V41" i="47"/>
  <c r="V242" i="47"/>
  <c r="V147" i="47"/>
  <c r="V202" i="47"/>
  <c r="V95" i="47"/>
  <c r="V234" i="47"/>
  <c r="V251" i="47"/>
  <c r="V207" i="47"/>
  <c r="V174" i="47"/>
  <c r="V87" i="47"/>
  <c r="V201" i="47"/>
  <c r="V224" i="47"/>
  <c r="V186" i="47"/>
  <c r="V190" i="47"/>
  <c r="V172" i="47"/>
  <c r="V156" i="47"/>
  <c r="V278" i="47"/>
  <c r="V136" i="47"/>
  <c r="V78" i="47"/>
  <c r="V276" i="47"/>
  <c r="V198" i="47"/>
  <c r="V93" i="47"/>
  <c r="V228" i="47"/>
  <c r="V254" i="47"/>
  <c r="V274" i="47"/>
  <c r="V236" i="47"/>
  <c r="V53" i="47"/>
  <c r="A209" i="47"/>
  <c r="A133" i="47"/>
  <c r="A210" i="47"/>
  <c r="A264" i="47"/>
  <c r="A251" i="47"/>
  <c r="A206" i="47"/>
  <c r="A201" i="47"/>
  <c r="A174" i="47"/>
  <c r="A166" i="47"/>
  <c r="A95" i="47"/>
  <c r="A256" i="47"/>
  <c r="A9" i="47"/>
  <c r="A14" i="47"/>
  <c r="A180" i="47"/>
  <c r="A213" i="47"/>
  <c r="A113" i="47"/>
  <c r="A123" i="47"/>
  <c r="A51" i="47"/>
  <c r="A32" i="47"/>
  <c r="A25" i="47"/>
  <c r="A269" i="47"/>
  <c r="A106" i="47"/>
  <c r="A91" i="47"/>
  <c r="A144" i="47"/>
  <c r="A171" i="47"/>
  <c r="A159" i="47"/>
  <c r="A145" i="47"/>
  <c r="A188" i="47"/>
  <c r="A222" i="47"/>
  <c r="A99" i="47"/>
  <c r="A15" i="47"/>
  <c r="A121" i="47"/>
  <c r="A74" i="47"/>
  <c r="A211" i="47"/>
  <c r="A147" i="47"/>
  <c r="A224" i="47"/>
  <c r="A198" i="47"/>
  <c r="A190" i="47"/>
  <c r="A107" i="47"/>
  <c r="A55" i="47"/>
  <c r="A114" i="47"/>
  <c r="A16" i="47"/>
  <c r="A80" i="47"/>
  <c r="A34" i="47"/>
  <c r="A40" i="47"/>
  <c r="A214" i="47"/>
  <c r="A132" i="47"/>
  <c r="A93" i="47"/>
  <c r="A203" i="47"/>
  <c r="A195" i="47"/>
  <c r="A143" i="47"/>
  <c r="A177" i="47"/>
  <c r="A116" i="47"/>
  <c r="A110" i="47"/>
  <c r="A234" i="47"/>
  <c r="A90" i="47"/>
  <c r="A84" i="47"/>
  <c r="A193" i="47"/>
  <c r="A227" i="47"/>
  <c r="A249" i="47"/>
  <c r="A92" i="47"/>
  <c r="A13" i="47"/>
  <c r="A207" i="47"/>
  <c r="A197" i="47"/>
  <c r="A63" i="47"/>
  <c r="A274" i="47"/>
  <c r="A45" i="47"/>
  <c r="A39" i="47"/>
  <c r="A194" i="47"/>
  <c r="A138" i="47"/>
  <c r="A154" i="47"/>
  <c r="A57" i="47"/>
  <c r="A230" i="47"/>
  <c r="A61" i="47"/>
  <c r="A59" i="47"/>
  <c r="A103" i="47"/>
  <c r="A237" i="47"/>
  <c r="A231" i="47"/>
  <c r="A7" i="47"/>
  <c r="A21" i="47"/>
  <c r="A163" i="47"/>
  <c r="A19" i="47"/>
  <c r="A218" i="47"/>
  <c r="A275" i="47"/>
  <c r="A262" i="47"/>
  <c r="A53" i="47"/>
  <c r="A73" i="47"/>
  <c r="A205" i="47"/>
  <c r="A46" i="47"/>
  <c r="A243" i="47"/>
  <c r="A186" i="47"/>
  <c r="A33" i="47"/>
  <c r="A151" i="47"/>
  <c r="A185" i="47"/>
  <c r="A242" i="47"/>
  <c r="A148" i="47"/>
  <c r="A260" i="47"/>
  <c r="A18" i="47"/>
  <c r="A176" i="47"/>
  <c r="A173" i="47"/>
  <c r="A102" i="47"/>
  <c r="A120" i="47"/>
  <c r="A64" i="47"/>
  <c r="A111" i="47"/>
  <c r="A235" i="47"/>
  <c r="A27" i="47"/>
  <c r="A250" i="47"/>
  <c r="A79" i="47"/>
  <c r="A70" i="47"/>
  <c r="A28" i="47"/>
  <c r="A115" i="47"/>
  <c r="A179" i="47"/>
  <c r="A265" i="47"/>
  <c r="A150" i="47"/>
  <c r="A38" i="47"/>
  <c r="A65" i="47"/>
  <c r="A126" i="47"/>
  <c r="A81" i="47"/>
  <c r="A137" i="47"/>
  <c r="A141" i="47"/>
  <c r="A228" i="47"/>
  <c r="A44" i="47"/>
  <c r="A72" i="47"/>
  <c r="A223" i="47"/>
  <c r="A12" i="47"/>
  <c r="A270" i="47"/>
  <c r="A85" i="47"/>
  <c r="A108" i="47"/>
  <c r="A20" i="47"/>
  <c r="A246" i="47"/>
  <c r="A49" i="47"/>
  <c r="A178" i="47"/>
  <c r="A124" i="47"/>
  <c r="A146" i="47"/>
  <c r="A165" i="47"/>
  <c r="A160" i="47"/>
  <c r="A24" i="47"/>
  <c r="A82" i="47"/>
  <c r="A184" i="47"/>
  <c r="A109" i="47"/>
  <c r="A181" i="47"/>
  <c r="A245" i="47"/>
  <c r="A100" i="47"/>
  <c r="A10" i="47"/>
  <c r="A78" i="47"/>
  <c r="A60" i="47"/>
  <c r="A94" i="47"/>
  <c r="A212" i="47"/>
  <c r="A170" i="47"/>
  <c r="A101" i="47"/>
  <c r="A164" i="47"/>
  <c r="A26" i="47"/>
  <c r="A169" i="47"/>
  <c r="A156" i="47"/>
  <c r="A17" i="47"/>
  <c r="A41" i="47"/>
  <c r="A97" i="47"/>
  <c r="A187" i="47"/>
  <c r="A37" i="47"/>
  <c r="A153" i="47"/>
  <c r="A162" i="47"/>
  <c r="A6" i="47"/>
  <c r="A233" i="47"/>
  <c r="A259" i="47"/>
  <c r="A168" i="47"/>
  <c r="A23" i="47"/>
  <c r="A226" i="47"/>
  <c r="A118" i="47"/>
  <c r="A30" i="47"/>
  <c r="A11" i="47"/>
  <c r="A112" i="47"/>
  <c r="A229" i="47"/>
  <c r="A182" i="47"/>
  <c r="A240" i="47"/>
  <c r="A263" i="47"/>
  <c r="A172" i="47"/>
  <c r="A239" i="47"/>
  <c r="A149" i="47"/>
  <c r="A215" i="47"/>
  <c r="A167" i="47"/>
  <c r="A89" i="47"/>
  <c r="A204" i="47"/>
  <c r="A278" i="47"/>
  <c r="A66" i="47"/>
  <c r="A134" i="47"/>
  <c r="A142" i="47"/>
  <c r="A254" i="47"/>
  <c r="A62" i="47"/>
  <c r="A279" i="47"/>
  <c r="A87" i="47"/>
  <c r="A267" i="47"/>
  <c r="A125" i="47"/>
  <c r="A248" i="47"/>
  <c r="A139" i="47"/>
  <c r="A261" i="47"/>
  <c r="A96" i="47"/>
  <c r="A183" i="47"/>
  <c r="A277" i="47"/>
  <c r="A119" i="47"/>
  <c r="A5" i="47"/>
  <c r="A135" i="47"/>
  <c r="A236" i="47"/>
  <c r="A98" i="47"/>
  <c r="A56" i="47"/>
  <c r="A280" i="47"/>
  <c r="A225" i="47"/>
  <c r="A52" i="47"/>
  <c r="A216" i="47"/>
  <c r="A67" i="47"/>
  <c r="A130" i="47"/>
  <c r="A88" i="47"/>
  <c r="A136" i="47"/>
  <c r="A220" i="47"/>
  <c r="A276" i="47"/>
  <c r="A199" i="47"/>
  <c r="A202" i="47"/>
  <c r="A83" i="47"/>
  <c r="A22" i="47"/>
  <c r="A4" i="47"/>
  <c r="A128" i="47"/>
  <c r="A257" i="47"/>
  <c r="A122" i="47"/>
  <c r="A219" i="47"/>
  <c r="A272" i="47"/>
  <c r="A161" i="47"/>
  <c r="A31" i="47"/>
  <c r="A155" i="47"/>
  <c r="A157" i="47"/>
  <c r="A208" i="47"/>
  <c r="A268" i="47"/>
  <c r="A48" i="47"/>
  <c r="A131" i="47"/>
  <c r="A244" i="47"/>
  <c r="A117" i="47"/>
  <c r="A77" i="47"/>
  <c r="A36" i="47"/>
  <c r="A105" i="47"/>
  <c r="A68" i="47"/>
  <c r="A29" i="47"/>
  <c r="A104" i="47"/>
  <c r="A266" i="47"/>
  <c r="A217" i="47"/>
  <c r="A238" i="47"/>
  <c r="A47" i="47"/>
  <c r="A191" i="47"/>
  <c r="A232" i="47"/>
  <c r="A189" i="47"/>
  <c r="A71" i="47"/>
  <c r="A152" i="47"/>
  <c r="A86" i="47"/>
  <c r="A221" i="47"/>
  <c r="A50" i="47"/>
  <c r="A54" i="47"/>
  <c r="A58" i="47"/>
  <c r="A158" i="47"/>
  <c r="A175" i="47"/>
  <c r="A69" i="47"/>
  <c r="A35" i="47"/>
  <c r="A43" i="47"/>
  <c r="A192" i="47"/>
  <c r="A196" i="47"/>
  <c r="A258" i="47"/>
  <c r="A255" i="47"/>
  <c r="A42" i="47"/>
  <c r="A273" i="47"/>
  <c r="A140" i="47"/>
  <c r="A271" i="47"/>
  <c r="A253" i="47"/>
  <c r="A76" i="47"/>
  <c r="A247" i="47"/>
  <c r="A129" i="47"/>
  <c r="A127" i="47"/>
  <c r="A75" i="47"/>
  <c r="A252" i="47"/>
  <c r="A241" i="47"/>
  <c r="A200" i="47"/>
  <c r="A8" i="47"/>
  <c r="AE4" i="42"/>
  <c r="AA5" i="42"/>
  <c r="AS18" i="43"/>
  <c r="AP5" i="43"/>
  <c r="AP11" i="43"/>
  <c r="AP9" i="43"/>
  <c r="AP10" i="43"/>
  <c r="AP19" i="43"/>
  <c r="C5" i="49"/>
  <c r="C4" i="49"/>
  <c r="C6" i="49"/>
  <c r="G133" i="32" a="1"/>
  <c r="G133" i="32" s="1"/>
  <c r="G135" i="32"/>
  <c r="G137" i="32" s="1"/>
  <c r="AP17" i="43"/>
  <c r="AP14" i="43"/>
  <c r="AP15" i="43"/>
  <c r="AP7" i="43"/>
  <c r="S225" i="47"/>
  <c r="S72" i="47"/>
  <c r="S34" i="47"/>
  <c r="S158" i="47"/>
  <c r="S252" i="47"/>
  <c r="S271" i="47"/>
  <c r="S165" i="47"/>
  <c r="S260" i="47"/>
  <c r="S166" i="47"/>
  <c r="S217" i="47"/>
  <c r="S80" i="47"/>
  <c r="S189" i="47"/>
  <c r="S154" i="47"/>
  <c r="S124" i="47"/>
  <c r="S73" i="47"/>
  <c r="S246" i="47"/>
  <c r="S149" i="47"/>
  <c r="S103" i="47"/>
  <c r="S54" i="47"/>
  <c r="S24" i="47"/>
  <c r="S209" i="47"/>
  <c r="S14" i="47"/>
  <c r="S195" i="47"/>
  <c r="S26" i="47"/>
  <c r="S29" i="47"/>
  <c r="S145" i="47"/>
  <c r="S109" i="47"/>
  <c r="S51" i="47"/>
  <c r="S239" i="47"/>
  <c r="S234" i="47"/>
  <c r="S23" i="47"/>
  <c r="S275" i="47"/>
  <c r="S241" i="47"/>
  <c r="S89" i="47"/>
  <c r="S50" i="47"/>
  <c r="S78" i="47"/>
  <c r="S220" i="47"/>
  <c r="S245" i="47"/>
  <c r="S107" i="47"/>
  <c r="S249" i="47"/>
  <c r="S57" i="47"/>
  <c r="S238" i="47"/>
  <c r="S87" i="47"/>
  <c r="S49" i="47"/>
  <c r="S168" i="47"/>
  <c r="S128" i="47"/>
  <c r="S237" i="47"/>
  <c r="S102" i="47"/>
  <c r="S64" i="47"/>
  <c r="S200" i="47"/>
  <c r="S138" i="47"/>
  <c r="S212" i="47"/>
  <c r="S114" i="47"/>
  <c r="S222" i="47"/>
  <c r="S20" i="47"/>
  <c r="S268" i="47"/>
  <c r="S261" i="47"/>
  <c r="S232" i="47"/>
  <c r="S38" i="47"/>
  <c r="S201" i="47"/>
  <c r="S183" i="47"/>
  <c r="S226" i="47"/>
  <c r="S65" i="47"/>
  <c r="S221" i="47"/>
  <c r="S233" i="47"/>
  <c r="S41" i="47"/>
  <c r="S230" i="47"/>
  <c r="S68" i="47"/>
  <c r="S273" i="47"/>
  <c r="S253" i="47"/>
  <c r="S224" i="47"/>
  <c r="S22" i="47"/>
  <c r="S93" i="47"/>
  <c r="S55" i="47"/>
  <c r="S43" i="47"/>
  <c r="S139" i="47"/>
  <c r="S36" i="47"/>
  <c r="S58" i="47"/>
  <c r="S163" i="47"/>
  <c r="S250" i="47"/>
  <c r="S277" i="47"/>
  <c r="S193" i="47"/>
  <c r="S171" i="47"/>
  <c r="S90" i="47"/>
  <c r="S19" i="47"/>
  <c r="S269" i="47"/>
  <c r="S170" i="47"/>
  <c r="S71" i="47"/>
  <c r="S207" i="47"/>
  <c r="S91" i="47"/>
  <c r="S33" i="47"/>
  <c r="S140" i="47"/>
  <c r="S202" i="47"/>
  <c r="S191" i="47"/>
  <c r="S85" i="47"/>
  <c r="S276" i="47"/>
  <c r="S7" i="47"/>
  <c r="S156" i="47"/>
  <c r="S39" i="47"/>
  <c r="S210" i="47"/>
  <c r="S159" i="47"/>
  <c r="S42" i="47"/>
  <c r="S274" i="47"/>
  <c r="S178" i="47"/>
  <c r="S97" i="47"/>
  <c r="S218" i="47"/>
  <c r="S74" i="47"/>
  <c r="S61" i="47"/>
  <c r="S62" i="47"/>
  <c r="S17" i="47"/>
  <c r="S83" i="47"/>
  <c r="S247" i="47"/>
  <c r="S116" i="47"/>
  <c r="S48" i="47"/>
  <c r="S99" i="47"/>
  <c r="S265" i="47"/>
  <c r="S10" i="47"/>
  <c r="S142" i="47"/>
  <c r="S267" i="47"/>
  <c r="S134" i="47"/>
  <c r="S133" i="47"/>
  <c r="S194" i="47"/>
  <c r="S4" i="47"/>
  <c r="S126" i="47"/>
  <c r="S151" i="47"/>
  <c r="S104" i="47"/>
  <c r="S131" i="47"/>
  <c r="S169" i="47"/>
  <c r="S108" i="47"/>
  <c r="S279" i="47"/>
  <c r="S205" i="47"/>
  <c r="S32" i="47"/>
  <c r="S132" i="47"/>
  <c r="S248" i="47"/>
  <c r="S100" i="47"/>
  <c r="S198" i="47"/>
  <c r="S118" i="47"/>
  <c r="S76" i="47"/>
  <c r="S35" i="47"/>
  <c r="S278" i="47"/>
  <c r="S86" i="47"/>
  <c r="S122" i="47"/>
  <c r="S106" i="47"/>
  <c r="S251" i="47"/>
  <c r="S152" i="47"/>
  <c r="S53" i="47"/>
  <c r="S96" i="47"/>
  <c r="S101" i="47"/>
  <c r="S6" i="47"/>
  <c r="S119" i="47"/>
  <c r="S121" i="47"/>
  <c r="S79" i="47"/>
  <c r="S52" i="47"/>
  <c r="S199" i="47"/>
  <c r="S190" i="47"/>
  <c r="S59" i="47"/>
  <c r="S84" i="47"/>
  <c r="S235" i="47"/>
  <c r="S125" i="47"/>
  <c r="S92" i="47"/>
  <c r="S47" i="47"/>
  <c r="S192" i="47"/>
  <c r="S111" i="47"/>
  <c r="S264" i="47"/>
  <c r="S127" i="47"/>
  <c r="S98" i="47"/>
  <c r="S242" i="47"/>
  <c r="S216" i="47"/>
  <c r="S214" i="47"/>
  <c r="S81" i="47"/>
  <c r="S117" i="47"/>
  <c r="S115" i="47"/>
  <c r="S215" i="47"/>
  <c r="S27" i="47"/>
  <c r="S150" i="47"/>
  <c r="S259" i="47"/>
  <c r="S272" i="47"/>
  <c r="S144" i="47"/>
  <c r="S136" i="47"/>
  <c r="S37" i="47"/>
  <c r="S203" i="47"/>
  <c r="S208" i="47"/>
  <c r="S44" i="47"/>
  <c r="S173" i="47"/>
  <c r="S11" i="47"/>
  <c r="S204" i="47"/>
  <c r="S258" i="47"/>
  <c r="S266" i="47"/>
  <c r="S270" i="47"/>
  <c r="S161" i="47"/>
  <c r="S240" i="47"/>
  <c r="S164" i="47"/>
  <c r="S56" i="47"/>
  <c r="S231" i="47"/>
  <c r="S13" i="47"/>
  <c r="S18" i="47"/>
  <c r="S95" i="47"/>
  <c r="S263" i="47"/>
  <c r="S15" i="47"/>
  <c r="S120" i="47"/>
  <c r="S197" i="47"/>
  <c r="S236" i="47"/>
  <c r="S181" i="47"/>
  <c r="S175" i="47"/>
  <c r="S182" i="47"/>
  <c r="S147" i="47"/>
  <c r="S185" i="47"/>
  <c r="S188" i="47"/>
  <c r="S46" i="47"/>
  <c r="S9" i="47"/>
  <c r="S75" i="47"/>
  <c r="S60" i="47"/>
  <c r="S135" i="47"/>
  <c r="S82" i="47"/>
  <c r="S69" i="47"/>
  <c r="S63" i="47"/>
  <c r="S280" i="47"/>
  <c r="S67" i="47"/>
  <c r="S25" i="47"/>
  <c r="S174" i="47"/>
  <c r="S105" i="47"/>
  <c r="S157" i="47"/>
  <c r="S112" i="47"/>
  <c r="S244" i="47"/>
  <c r="S229" i="47"/>
  <c r="S184" i="47"/>
  <c r="S5" i="47"/>
  <c r="S211" i="47"/>
  <c r="S70" i="47"/>
  <c r="S123" i="47"/>
  <c r="S176" i="47"/>
  <c r="S255" i="47"/>
  <c r="S130" i="47"/>
  <c r="S45" i="47"/>
  <c r="S187" i="47"/>
  <c r="S88" i="47"/>
  <c r="S262" i="47"/>
  <c r="S12" i="47"/>
  <c r="S40" i="47"/>
  <c r="S148" i="47"/>
  <c r="S256" i="47"/>
  <c r="S16" i="47"/>
  <c r="S28" i="47"/>
  <c r="S143" i="47"/>
  <c r="S172" i="47"/>
  <c r="S110" i="47"/>
  <c r="S196" i="47"/>
  <c r="S254" i="47"/>
  <c r="S228" i="47"/>
  <c r="S77" i="47"/>
  <c r="S177" i="47"/>
  <c r="S137" i="47"/>
  <c r="S206" i="47"/>
  <c r="S257" i="47"/>
  <c r="S180" i="47"/>
  <c r="S160" i="47"/>
  <c r="S129" i="47"/>
  <c r="S155" i="47"/>
  <c r="S179" i="47"/>
  <c r="S31" i="47"/>
  <c r="S162" i="47"/>
  <c r="S186" i="47"/>
  <c r="S113" i="47"/>
  <c r="S243" i="47"/>
  <c r="S141" i="47"/>
  <c r="S213" i="47"/>
  <c r="S153" i="47"/>
  <c r="S30" i="47"/>
  <c r="S94" i="47"/>
  <c r="S219" i="47"/>
  <c r="S227" i="47"/>
  <c r="S223" i="47"/>
  <c r="S21" i="47"/>
  <c r="S66" i="47"/>
  <c r="S146" i="47"/>
  <c r="S167" i="47"/>
  <c r="S8" i="47"/>
  <c r="S3" i="47"/>
  <c r="AI28" i="49"/>
  <c r="AI59" i="49"/>
  <c r="AI104" i="49"/>
  <c r="AI31" i="49"/>
  <c r="AI57" i="49"/>
  <c r="AI93" i="49"/>
  <c r="AI11" i="49"/>
  <c r="AI55" i="49"/>
  <c r="AI41" i="49"/>
  <c r="AI92" i="49"/>
  <c r="AI33" i="49"/>
  <c r="AI108" i="49"/>
  <c r="AI4" i="49"/>
  <c r="AI74" i="49"/>
  <c r="AI8" i="49"/>
  <c r="AI119" i="49"/>
  <c r="AI82" i="49"/>
  <c r="AI6" i="49"/>
  <c r="AI22" i="49"/>
  <c r="AI60" i="49"/>
  <c r="AI53" i="49"/>
  <c r="AI118" i="49"/>
  <c r="AI89" i="49"/>
  <c r="AI79" i="49"/>
  <c r="AI115" i="49"/>
  <c r="AI21" i="49"/>
  <c r="AI54" i="49"/>
  <c r="AI88" i="49"/>
  <c r="AI27" i="49"/>
  <c r="AI75" i="49"/>
  <c r="AI16" i="49"/>
  <c r="AI38" i="49"/>
  <c r="AI66" i="49"/>
  <c r="AI116" i="49"/>
  <c r="AI101" i="49"/>
  <c r="AI94" i="49"/>
  <c r="AI63" i="49"/>
  <c r="AI34" i="49"/>
  <c r="AI109" i="49"/>
  <c r="AI70" i="49"/>
  <c r="AI76" i="49"/>
  <c r="AI24" i="49"/>
  <c r="AI123" i="49"/>
  <c r="AI107" i="49"/>
  <c r="AI78" i="49"/>
  <c r="AI67" i="49"/>
  <c r="AI69" i="49"/>
  <c r="AI19" i="49"/>
  <c r="AI10" i="49"/>
  <c r="AI105" i="49"/>
  <c r="AI83" i="49"/>
  <c r="AI87" i="49"/>
  <c r="AI47" i="49"/>
  <c r="AI20" i="49"/>
  <c r="AI81" i="49"/>
  <c r="AI45" i="49"/>
  <c r="AI42" i="49"/>
  <c r="AI85" i="49"/>
  <c r="AI49" i="49"/>
  <c r="AI13" i="49"/>
  <c r="AI68" i="49"/>
  <c r="AI18" i="49"/>
  <c r="AI95" i="49"/>
  <c r="AI117" i="49"/>
  <c r="AI30" i="49"/>
  <c r="AI73" i="49"/>
  <c r="AI91" i="49"/>
  <c r="AI12" i="49"/>
  <c r="AI114" i="49"/>
  <c r="AI23" i="49"/>
  <c r="AI5" i="49"/>
  <c r="AI37" i="49"/>
  <c r="AI111" i="49"/>
  <c r="AI98" i="49"/>
  <c r="AI64" i="49"/>
  <c r="AI65" i="49"/>
  <c r="AI72" i="49"/>
  <c r="AI39" i="49"/>
  <c r="AI51" i="49"/>
  <c r="AI35" i="49"/>
  <c r="AI44" i="49"/>
  <c r="AI71" i="49"/>
  <c r="AI112" i="49"/>
  <c r="AI25" i="49"/>
  <c r="AI80" i="49"/>
  <c r="AI97" i="49"/>
  <c r="AI120" i="49"/>
  <c r="AI40" i="49"/>
  <c r="AI61" i="49"/>
  <c r="AI124" i="49"/>
  <c r="AI125" i="49"/>
  <c r="AI52" i="49"/>
  <c r="AI86" i="49"/>
  <c r="AI62" i="49"/>
  <c r="AI46" i="49"/>
  <c r="AI15" i="49"/>
  <c r="AI50" i="49"/>
  <c r="AI36" i="49"/>
  <c r="AI26" i="49"/>
  <c r="AI58" i="49"/>
  <c r="AI90" i="49"/>
  <c r="AI48" i="49"/>
  <c r="AI110" i="49"/>
  <c r="AI32" i="49"/>
  <c r="AI113" i="49"/>
  <c r="AI17" i="49"/>
  <c r="AI56" i="49"/>
  <c r="AI96" i="49"/>
  <c r="AI122" i="49"/>
  <c r="AI106" i="49"/>
  <c r="AI102" i="49"/>
  <c r="AI100" i="49"/>
  <c r="AI121" i="49"/>
  <c r="AI77" i="49"/>
  <c r="AI99" i="49"/>
  <c r="AI84" i="49"/>
  <c r="AI103" i="49"/>
  <c r="AI9" i="49"/>
  <c r="AI7" i="49"/>
  <c r="AI29" i="49"/>
  <c r="AI43" i="49"/>
  <c r="AI14" i="49"/>
  <c r="AI3" i="49"/>
  <c r="AI30" i="47"/>
  <c r="AI59" i="47"/>
  <c r="AI260" i="47"/>
  <c r="AI166" i="47"/>
  <c r="AI14" i="47"/>
  <c r="AI101" i="47"/>
  <c r="AI41" i="47"/>
  <c r="AI125" i="47"/>
  <c r="AI237" i="47"/>
  <c r="AI175" i="47"/>
  <c r="AI105" i="47"/>
  <c r="AI168" i="47"/>
  <c r="AI97" i="47"/>
  <c r="AI79" i="47"/>
  <c r="AI202" i="47"/>
  <c r="AI176" i="47"/>
  <c r="AI56" i="47"/>
  <c r="AI222" i="47"/>
  <c r="AI224" i="47"/>
  <c r="AI49" i="47"/>
  <c r="AI271" i="47"/>
  <c r="AI266" i="47"/>
  <c r="AI177" i="47"/>
  <c r="AI28" i="47"/>
  <c r="AI254" i="47"/>
  <c r="AI64" i="47"/>
  <c r="AI230" i="47"/>
  <c r="AI38" i="47"/>
  <c r="AI58" i="47"/>
  <c r="AI50" i="47"/>
  <c r="AI120" i="47"/>
  <c r="AI110" i="47"/>
  <c r="AI200" i="47"/>
  <c r="AI172" i="47"/>
  <c r="AI183" i="47"/>
  <c r="AI87" i="47"/>
  <c r="AI53" i="47"/>
  <c r="AI226" i="47"/>
  <c r="AI220" i="47"/>
  <c r="AI71" i="47"/>
  <c r="AI204" i="47"/>
  <c r="AI195" i="47"/>
  <c r="AI21" i="47"/>
  <c r="AI212" i="47"/>
  <c r="AI227" i="47"/>
  <c r="AI83" i="47"/>
  <c r="AI253" i="47"/>
  <c r="AI219" i="47"/>
  <c r="AI73" i="47"/>
  <c r="AI93" i="47"/>
  <c r="AI257" i="47"/>
  <c r="AI140" i="47"/>
  <c r="AI122" i="47"/>
  <c r="AI42" i="47"/>
  <c r="AI193" i="47"/>
  <c r="AI109" i="47"/>
  <c r="AI164" i="47"/>
  <c r="AI16" i="47"/>
  <c r="AI210" i="47"/>
  <c r="AI209" i="47"/>
  <c r="AI213" i="47"/>
  <c r="AI265" i="47"/>
  <c r="AI123" i="47"/>
  <c r="AI165" i="47"/>
  <c r="AI236" i="47"/>
  <c r="AI118" i="47"/>
  <c r="AI270" i="47"/>
  <c r="AI208" i="47"/>
  <c r="AI186" i="47"/>
  <c r="AI198" i="47"/>
  <c r="AI62" i="47"/>
  <c r="AI188" i="47"/>
  <c r="AI55" i="47"/>
  <c r="AI244" i="47"/>
  <c r="AI144" i="47"/>
  <c r="AI18" i="47"/>
  <c r="AI129" i="47"/>
  <c r="AI111" i="47"/>
  <c r="AI15" i="47"/>
  <c r="AI130" i="47"/>
  <c r="AI75" i="47"/>
  <c r="AI24" i="47"/>
  <c r="AI199" i="47"/>
  <c r="AI194" i="47"/>
  <c r="AI104" i="47"/>
  <c r="AI33" i="47"/>
  <c r="AI63" i="47"/>
  <c r="AI268" i="47"/>
  <c r="AI66" i="47"/>
  <c r="AI48" i="47"/>
  <c r="AI77" i="47"/>
  <c r="AI86" i="47"/>
  <c r="AI32" i="47"/>
  <c r="AI248" i="47"/>
  <c r="AI36" i="47"/>
  <c r="AI218" i="47"/>
  <c r="AI106" i="47"/>
  <c r="AI65" i="47"/>
  <c r="AI245" i="47"/>
  <c r="AI115" i="47"/>
  <c r="AI11" i="47"/>
  <c r="AI163" i="47"/>
  <c r="AI9" i="47"/>
  <c r="AI215" i="47"/>
  <c r="AI225" i="47"/>
  <c r="AI26" i="47"/>
  <c r="AI251" i="47"/>
  <c r="AI223" i="47"/>
  <c r="AI229" i="47"/>
  <c r="AI185" i="47"/>
  <c r="AI132" i="47"/>
  <c r="AI232" i="47"/>
  <c r="AI99" i="47"/>
  <c r="AI263" i="47"/>
  <c r="AI192" i="47"/>
  <c r="AI23" i="47"/>
  <c r="AI154" i="47"/>
  <c r="AI90" i="47"/>
  <c r="AI157" i="47"/>
  <c r="AI205" i="47"/>
  <c r="AI152" i="47"/>
  <c r="AI243" i="47"/>
  <c r="AI17" i="47"/>
  <c r="AI184" i="47"/>
  <c r="AI159" i="47"/>
  <c r="AI8" i="47"/>
  <c r="AI108" i="47"/>
  <c r="AI238" i="47"/>
  <c r="AI25" i="47"/>
  <c r="AI117" i="47"/>
  <c r="AI150" i="47"/>
  <c r="AI246" i="47"/>
  <c r="AI35" i="47"/>
  <c r="AI72" i="47"/>
  <c r="AI161" i="47"/>
  <c r="AI20" i="47"/>
  <c r="AI279" i="47"/>
  <c r="AI102" i="47"/>
  <c r="AI240" i="47"/>
  <c r="AI89" i="47"/>
  <c r="AI239" i="47"/>
  <c r="AI145" i="47"/>
  <c r="AI256" i="47"/>
  <c r="AI47" i="47"/>
  <c r="AI107" i="47"/>
  <c r="AI147" i="47"/>
  <c r="AI45" i="47"/>
  <c r="AI167" i="47"/>
  <c r="AI46" i="47"/>
  <c r="AI151" i="47"/>
  <c r="AI134" i="47"/>
  <c r="AI272" i="47"/>
  <c r="AI27" i="47"/>
  <c r="AI52" i="47"/>
  <c r="AI242" i="47"/>
  <c r="AI80" i="47"/>
  <c r="AI273" i="47"/>
  <c r="AI278" i="47"/>
  <c r="AI206" i="47"/>
  <c r="AI174" i="47"/>
  <c r="AI5" i="47"/>
  <c r="AI137" i="47"/>
  <c r="AI116" i="47"/>
  <c r="AI171" i="47"/>
  <c r="AI274" i="47"/>
  <c r="AI196" i="47"/>
  <c r="AI96" i="47"/>
  <c r="AI191" i="47"/>
  <c r="AI267" i="47"/>
  <c r="AI13" i="47"/>
  <c r="AI141" i="47"/>
  <c r="AI40" i="47"/>
  <c r="AI135" i="47"/>
  <c r="AI12" i="47"/>
  <c r="AI211" i="47"/>
  <c r="AI85" i="47"/>
  <c r="AI182" i="47"/>
  <c r="AI44" i="47"/>
  <c r="AI160" i="47"/>
  <c r="AI70" i="47"/>
  <c r="AI269" i="47"/>
  <c r="AI249" i="47"/>
  <c r="AI280" i="47"/>
  <c r="AI60" i="47"/>
  <c r="AI169" i="47"/>
  <c r="AI51" i="47"/>
  <c r="AI255" i="47"/>
  <c r="AI127" i="47"/>
  <c r="AI146" i="47"/>
  <c r="AI57" i="47"/>
  <c r="AI221" i="47"/>
  <c r="AI128" i="47"/>
  <c r="AI247" i="47"/>
  <c r="AI92" i="47"/>
  <c r="AI37" i="47"/>
  <c r="AI6" i="47"/>
  <c r="AI7" i="47"/>
  <c r="AI34" i="47"/>
  <c r="AI181" i="47"/>
  <c r="AI214" i="47"/>
  <c r="AI178" i="47"/>
  <c r="AI76" i="47"/>
  <c r="AI31" i="47"/>
  <c r="AI217" i="47"/>
  <c r="AI153" i="47"/>
  <c r="AI74" i="47"/>
  <c r="AI197" i="47"/>
  <c r="AI94" i="47"/>
  <c r="AI173" i="47"/>
  <c r="AI126" i="47"/>
  <c r="AI155" i="47"/>
  <c r="AI29" i="47"/>
  <c r="AI112" i="47"/>
  <c r="AI142" i="47"/>
  <c r="AI78" i="47"/>
  <c r="AI201" i="47"/>
  <c r="AI259" i="47"/>
  <c r="AI180" i="47"/>
  <c r="AI233" i="47"/>
  <c r="AI241" i="47"/>
  <c r="AI143" i="47"/>
  <c r="AI162" i="47"/>
  <c r="AI138" i="47"/>
  <c r="AI19" i="47"/>
  <c r="AI22" i="47"/>
  <c r="AI121" i="47"/>
  <c r="AI190" i="47"/>
  <c r="AI235" i="47"/>
  <c r="AI98" i="47"/>
  <c r="AI136" i="47"/>
  <c r="AI234" i="47"/>
  <c r="AI84" i="47"/>
  <c r="AI133" i="47"/>
  <c r="AI43" i="47"/>
  <c r="AI114" i="47"/>
  <c r="AI231" i="47"/>
  <c r="AI158" i="47"/>
  <c r="AI207" i="47"/>
  <c r="AI216" i="47"/>
  <c r="AI54" i="47"/>
  <c r="AI103" i="47"/>
  <c r="AI187" i="47"/>
  <c r="AI228" i="47"/>
  <c r="AI250" i="47"/>
  <c r="AI61" i="47"/>
  <c r="AI262" i="47"/>
  <c r="AI277" i="47"/>
  <c r="AI261" i="47"/>
  <c r="AI264" i="47"/>
  <c r="AI189" i="47"/>
  <c r="AI148" i="47"/>
  <c r="AI156" i="47"/>
  <c r="AI95" i="47"/>
  <c r="AI124" i="47"/>
  <c r="AI179" i="47"/>
  <c r="AI203" i="47"/>
  <c r="AI113" i="47"/>
  <c r="AI82" i="47"/>
  <c r="AI69" i="47"/>
  <c r="AI68" i="47"/>
  <c r="AI100" i="47"/>
  <c r="AI275" i="47"/>
  <c r="AI149" i="47"/>
  <c r="AI10" i="47"/>
  <c r="AI139" i="47"/>
  <c r="AI170" i="47"/>
  <c r="AI4" i="47"/>
  <c r="AI81" i="47"/>
  <c r="AI91" i="47"/>
  <c r="AI88" i="47"/>
  <c r="AI39" i="47"/>
  <c r="AI131" i="47"/>
  <c r="AI252" i="47"/>
  <c r="AI276" i="47"/>
  <c r="AI67" i="47"/>
  <c r="AI258" i="47"/>
  <c r="AI119" i="47"/>
  <c r="AI3" i="47"/>
  <c r="AP16" i="43"/>
  <c r="C279" i="47"/>
  <c r="C208" i="47"/>
  <c r="C242" i="47"/>
  <c r="C85" i="47"/>
  <c r="C145" i="47"/>
  <c r="C120" i="47"/>
  <c r="C96" i="47"/>
  <c r="C33" i="47"/>
  <c r="C54" i="47"/>
  <c r="C56" i="47"/>
  <c r="C74" i="47"/>
  <c r="C123" i="47"/>
  <c r="C260" i="47"/>
  <c r="C127" i="47"/>
  <c r="C143" i="47"/>
  <c r="C68" i="47"/>
  <c r="C161" i="47"/>
  <c r="C93" i="47"/>
  <c r="C37" i="47"/>
  <c r="C71" i="47"/>
  <c r="C22" i="47"/>
  <c r="C272" i="47"/>
  <c r="C134" i="47"/>
  <c r="C36" i="47"/>
  <c r="C248" i="47"/>
  <c r="C249" i="47"/>
  <c r="C31" i="47"/>
  <c r="C104" i="47"/>
  <c r="C256" i="47"/>
  <c r="C172" i="47"/>
  <c r="C223" i="47"/>
  <c r="C101" i="47"/>
  <c r="C232" i="47"/>
  <c r="C236" i="47"/>
  <c r="C15" i="47"/>
  <c r="C87" i="47"/>
  <c r="C199" i="47"/>
  <c r="C240" i="47"/>
  <c r="C176" i="47"/>
  <c r="C77" i="47"/>
  <c r="C263" i="47"/>
  <c r="C133" i="47"/>
  <c r="C163" i="47"/>
  <c r="C76" i="47"/>
  <c r="C88" i="47"/>
  <c r="C50" i="47"/>
  <c r="C255" i="47"/>
  <c r="C182" i="47"/>
  <c r="C121" i="47"/>
  <c r="C188" i="47"/>
  <c r="C94" i="47"/>
  <c r="C171" i="47"/>
  <c r="C220" i="47"/>
  <c r="C8" i="47"/>
  <c r="C215" i="47"/>
  <c r="C57" i="47"/>
  <c r="C129" i="47"/>
  <c r="C179" i="47"/>
  <c r="C269" i="47"/>
  <c r="C16" i="47"/>
  <c r="C216" i="47"/>
  <c r="C273" i="47"/>
  <c r="C69" i="47"/>
  <c r="C261" i="47"/>
  <c r="C78" i="47"/>
  <c r="C139" i="47"/>
  <c r="C40" i="47"/>
  <c r="C81" i="47"/>
  <c r="C152" i="47"/>
  <c r="C157" i="47"/>
  <c r="C99" i="47"/>
  <c r="C237" i="47"/>
  <c r="C173" i="47"/>
  <c r="C136" i="47"/>
  <c r="C271" i="47"/>
  <c r="C59" i="47"/>
  <c r="C38" i="47"/>
  <c r="C42" i="47"/>
  <c r="C110" i="47"/>
  <c r="C147" i="47"/>
  <c r="C264" i="47"/>
  <c r="C251" i="47"/>
  <c r="C45" i="47"/>
  <c r="C10" i="47"/>
  <c r="C137" i="47"/>
  <c r="C244" i="47"/>
  <c r="C41" i="47"/>
  <c r="C235" i="47"/>
  <c r="C72" i="47"/>
  <c r="C278" i="47"/>
  <c r="C79" i="47"/>
  <c r="C195" i="47"/>
  <c r="C89" i="47"/>
  <c r="C191" i="47"/>
  <c r="C75" i="47"/>
  <c r="C224" i="47"/>
  <c r="C21" i="47"/>
  <c r="C114" i="47"/>
  <c r="C247" i="47"/>
  <c r="C135" i="47"/>
  <c r="C60" i="47"/>
  <c r="C228" i="47"/>
  <c r="C210" i="47"/>
  <c r="C225" i="47"/>
  <c r="C122" i="47"/>
  <c r="C254" i="47"/>
  <c r="C229" i="47"/>
  <c r="C258" i="47"/>
  <c r="C84" i="47"/>
  <c r="C58" i="47"/>
  <c r="C83" i="47"/>
  <c r="C49" i="47"/>
  <c r="C130" i="47"/>
  <c r="C243" i="47"/>
  <c r="C202" i="47"/>
  <c r="C100" i="47"/>
  <c r="C108" i="47"/>
  <c r="C270" i="47"/>
  <c r="C80" i="47"/>
  <c r="C221" i="47"/>
  <c r="C213" i="47"/>
  <c r="C192" i="47"/>
  <c r="C12" i="47"/>
  <c r="C168" i="47"/>
  <c r="C197" i="47"/>
  <c r="C116" i="47"/>
  <c r="C186" i="47"/>
  <c r="C63" i="47"/>
  <c r="C153" i="47"/>
  <c r="C230" i="47"/>
  <c r="C181" i="47"/>
  <c r="C66" i="47"/>
  <c r="C189" i="47"/>
  <c r="C233" i="47"/>
  <c r="C207" i="47"/>
  <c r="C73" i="47"/>
  <c r="C280" i="47"/>
  <c r="C164" i="47"/>
  <c r="C125" i="47"/>
  <c r="C124" i="47"/>
  <c r="C276" i="47"/>
  <c r="C112" i="47"/>
  <c r="C24" i="47"/>
  <c r="C206" i="47"/>
  <c r="C98" i="47"/>
  <c r="C274" i="47"/>
  <c r="C234" i="47"/>
  <c r="C29" i="47"/>
  <c r="C201" i="47"/>
  <c r="C9" i="47"/>
  <c r="C245" i="47"/>
  <c r="C253" i="47"/>
  <c r="C217" i="47"/>
  <c r="C17" i="47"/>
  <c r="C239" i="47"/>
  <c r="C141" i="47"/>
  <c r="C119" i="47"/>
  <c r="C209" i="47"/>
  <c r="C183" i="47"/>
  <c r="C160" i="47"/>
  <c r="C43" i="47"/>
  <c r="C268" i="47"/>
  <c r="C19" i="47"/>
  <c r="C174" i="47"/>
  <c r="C34" i="47"/>
  <c r="C190" i="47"/>
  <c r="C35" i="47"/>
  <c r="C238" i="47"/>
  <c r="C20" i="47"/>
  <c r="C13" i="47"/>
  <c r="C214" i="47"/>
  <c r="C55" i="47"/>
  <c r="C205" i="47"/>
  <c r="C241" i="47"/>
  <c r="C48" i="47"/>
  <c r="C46" i="47"/>
  <c r="C118" i="47"/>
  <c r="C226" i="47"/>
  <c r="C277" i="47"/>
  <c r="C30" i="47"/>
  <c r="C106" i="47"/>
  <c r="C51" i="47"/>
  <c r="C131" i="47"/>
  <c r="C18" i="47"/>
  <c r="C211" i="47"/>
  <c r="C165" i="47"/>
  <c r="C275" i="47"/>
  <c r="C246" i="47"/>
  <c r="C166" i="47"/>
  <c r="C250" i="47"/>
  <c r="C180" i="47"/>
  <c r="C142" i="47"/>
  <c r="C126" i="47"/>
  <c r="C146" i="47"/>
  <c r="C23" i="47"/>
  <c r="C194" i="47"/>
  <c r="C252" i="47"/>
  <c r="C86" i="47"/>
  <c r="C162" i="47"/>
  <c r="C26" i="47"/>
  <c r="C177" i="47"/>
  <c r="C150" i="47"/>
  <c r="C113" i="47"/>
  <c r="C198" i="47"/>
  <c r="C262" i="47"/>
  <c r="C148" i="47"/>
  <c r="C52" i="47"/>
  <c r="C154" i="47"/>
  <c r="C91" i="47"/>
  <c r="C185" i="47"/>
  <c r="C128" i="47"/>
  <c r="C7" i="47"/>
  <c r="C175" i="47"/>
  <c r="C222" i="47"/>
  <c r="C92" i="47"/>
  <c r="C102" i="47"/>
  <c r="C109" i="47"/>
  <c r="C193" i="47"/>
  <c r="C132" i="47"/>
  <c r="C64" i="47"/>
  <c r="C259" i="47"/>
  <c r="C97" i="47"/>
  <c r="C65" i="47"/>
  <c r="C117" i="47"/>
  <c r="C28" i="47"/>
  <c r="C155" i="47"/>
  <c r="C203" i="47"/>
  <c r="C115" i="47"/>
  <c r="C27" i="47"/>
  <c r="C167" i="47"/>
  <c r="C39" i="47"/>
  <c r="C32" i="47"/>
  <c r="C149" i="47"/>
  <c r="C156" i="47"/>
  <c r="C187" i="47"/>
  <c r="C138" i="47"/>
  <c r="C257" i="47"/>
  <c r="C212" i="47"/>
  <c r="C107" i="47"/>
  <c r="C111" i="47"/>
  <c r="C200" i="47"/>
  <c r="C159" i="47"/>
  <c r="C151" i="47"/>
  <c r="C204" i="47"/>
  <c r="C70" i="47"/>
  <c r="C158" i="47"/>
  <c r="C178" i="47"/>
  <c r="C82" i="47"/>
  <c r="C90" i="47"/>
  <c r="C265" i="47"/>
  <c r="C105" i="47"/>
  <c r="C231" i="47"/>
  <c r="C196" i="47"/>
  <c r="C47" i="47"/>
  <c r="C67" i="47"/>
  <c r="C14" i="47"/>
  <c r="C44" i="47"/>
  <c r="C227" i="47"/>
  <c r="C266" i="47"/>
  <c r="C169" i="47"/>
  <c r="C140" i="47"/>
  <c r="C218" i="47"/>
  <c r="C61" i="47"/>
  <c r="C267" i="47"/>
  <c r="C53" i="47"/>
  <c r="C184" i="47"/>
  <c r="C103" i="47"/>
  <c r="C62" i="47"/>
  <c r="C219" i="47"/>
  <c r="C144" i="47"/>
  <c r="C170" i="47"/>
  <c r="C25" i="47"/>
  <c r="C95" i="47"/>
  <c r="C11" i="47"/>
  <c r="C4" i="47"/>
  <c r="C5" i="47"/>
  <c r="C6" i="47"/>
  <c r="C171" i="43"/>
  <c r="C146" i="43"/>
  <c r="C212" i="43"/>
  <c r="C176" i="43"/>
  <c r="C50" i="43"/>
  <c r="C44" i="43"/>
  <c r="C156" i="43"/>
  <c r="C41" i="43"/>
  <c r="C118" i="43"/>
  <c r="C150" i="43"/>
  <c r="C35" i="43"/>
  <c r="C80" i="43"/>
  <c r="C22" i="43"/>
  <c r="C106" i="43"/>
  <c r="C228" i="43"/>
  <c r="C185" i="43"/>
  <c r="C204" i="43"/>
  <c r="C108" i="43"/>
  <c r="C179" i="43"/>
  <c r="C90" i="43"/>
  <c r="C151" i="43"/>
  <c r="C217" i="43"/>
  <c r="C87" i="43"/>
  <c r="C186" i="43"/>
  <c r="C221" i="43"/>
  <c r="C210" i="43"/>
  <c r="C191" i="43"/>
  <c r="C181" i="43"/>
  <c r="C15" i="43"/>
  <c r="C8" i="43"/>
  <c r="C114" i="43"/>
  <c r="C21" i="43"/>
  <c r="C55" i="43"/>
  <c r="C239" i="43"/>
  <c r="C197" i="43"/>
  <c r="C198" i="43"/>
  <c r="C229" i="43"/>
  <c r="C189" i="43"/>
  <c r="C99" i="43"/>
  <c r="C203" i="43"/>
  <c r="C115" i="43"/>
  <c r="C58" i="43"/>
  <c r="C142" i="43"/>
  <c r="C18" i="43"/>
  <c r="C124" i="43"/>
  <c r="C68" i="43"/>
  <c r="C111" i="43"/>
  <c r="C227" i="43"/>
  <c r="C205" i="43"/>
  <c r="C152" i="43"/>
  <c r="C96" i="43"/>
  <c r="C216" i="43"/>
  <c r="C140" i="43"/>
  <c r="C130" i="43"/>
  <c r="C63" i="43"/>
  <c r="C144" i="43"/>
  <c r="C23" i="43"/>
  <c r="C56" i="43"/>
  <c r="C31" i="43"/>
  <c r="C120" i="43"/>
  <c r="C30" i="43"/>
  <c r="C14" i="43"/>
  <c r="C102" i="43"/>
  <c r="C19" i="43"/>
  <c r="C162" i="43"/>
  <c r="C116" i="43"/>
  <c r="C109" i="43"/>
  <c r="C126" i="43"/>
  <c r="C177" i="43"/>
  <c r="C79" i="43"/>
  <c r="C47" i="43"/>
  <c r="C134" i="43"/>
  <c r="C83" i="43"/>
  <c r="C169" i="43"/>
  <c r="C196" i="43"/>
  <c r="C206" i="43"/>
  <c r="AQ2" i="43"/>
  <c r="C86" i="43"/>
  <c r="C153" i="43"/>
  <c r="C101" i="43"/>
  <c r="C234" i="43"/>
  <c r="C215" i="43"/>
  <c r="C188" i="43"/>
  <c r="C173" i="43"/>
  <c r="C167" i="43"/>
  <c r="C148" i="43"/>
  <c r="C165" i="43"/>
  <c r="C7" i="43"/>
  <c r="C67" i="43"/>
  <c r="C104" i="43"/>
  <c r="C136" i="43"/>
  <c r="C235" i="43"/>
  <c r="C187" i="43"/>
  <c r="C161" i="43"/>
  <c r="C240" i="43"/>
  <c r="C128" i="43"/>
  <c r="C155" i="43"/>
  <c r="C69" i="43"/>
  <c r="C46" i="43"/>
  <c r="C117" i="43"/>
  <c r="C223" i="43"/>
  <c r="C163" i="43"/>
  <c r="C145" i="43"/>
  <c r="C17" i="43"/>
  <c r="C170" i="43"/>
  <c r="C175" i="43"/>
  <c r="C226" i="43"/>
  <c r="C233" i="43"/>
  <c r="C28" i="43"/>
  <c r="C122" i="43"/>
  <c r="C157" i="43"/>
  <c r="C76" i="43"/>
  <c r="C103" i="43"/>
  <c r="C178" i="43"/>
  <c r="C61" i="43"/>
  <c r="C105" i="43"/>
  <c r="C123" i="43"/>
  <c r="C84" i="43"/>
  <c r="C172" i="43"/>
  <c r="C195" i="43"/>
  <c r="C194" i="43"/>
  <c r="C107" i="43"/>
  <c r="C132" i="43"/>
  <c r="C121" i="43"/>
  <c r="C95" i="43"/>
  <c r="C92" i="43"/>
  <c r="C26" i="43"/>
  <c r="C154" i="43"/>
  <c r="C164" i="43"/>
  <c r="C37" i="43"/>
  <c r="C138" i="43"/>
  <c r="C11" i="43"/>
  <c r="C51" i="43"/>
  <c r="C219" i="43"/>
  <c r="C20" i="43"/>
  <c r="C39" i="43"/>
  <c r="C65" i="43"/>
  <c r="C201" i="43"/>
  <c r="C52" i="43"/>
  <c r="C200" i="43"/>
  <c r="C230" i="43"/>
  <c r="C192" i="43"/>
  <c r="C209" i="43"/>
  <c r="C29" i="43"/>
  <c r="C220" i="43"/>
  <c r="C81" i="43"/>
  <c r="C38" i="43"/>
  <c r="C238" i="43"/>
  <c r="C94" i="43"/>
  <c r="C119" i="43"/>
  <c r="C193" i="43"/>
  <c r="C135" i="43"/>
  <c r="C166" i="43"/>
  <c r="C77" i="43"/>
  <c r="C137" i="43"/>
  <c r="C218" i="43"/>
  <c r="C225" i="43"/>
  <c r="C98" i="43"/>
  <c r="C33" i="43"/>
  <c r="C24" i="43"/>
  <c r="C88" i="43"/>
  <c r="C97" i="43"/>
  <c r="C16" i="43"/>
  <c r="C113" i="43"/>
  <c r="C27" i="43"/>
  <c r="C129" i="43"/>
  <c r="C143" i="43"/>
  <c r="C237" i="43"/>
  <c r="C208" i="43"/>
  <c r="C112" i="43"/>
  <c r="C12" i="43"/>
  <c r="C53" i="43"/>
  <c r="C213" i="43"/>
  <c r="C158" i="43"/>
  <c r="C60" i="43"/>
  <c r="C174" i="43"/>
  <c r="C133" i="43"/>
  <c r="C202" i="43"/>
  <c r="C45" i="43"/>
  <c r="C127" i="43"/>
  <c r="C183" i="43"/>
  <c r="C125" i="43"/>
  <c r="C75" i="43"/>
  <c r="C73" i="43"/>
  <c r="C89" i="43"/>
  <c r="C82" i="43"/>
  <c r="C182" i="43"/>
  <c r="C160" i="43"/>
  <c r="C64" i="43"/>
  <c r="C139" i="43"/>
  <c r="C110" i="43"/>
  <c r="C214" i="43"/>
  <c r="C78" i="43"/>
  <c r="C66" i="43"/>
  <c r="C149" i="43"/>
  <c r="C168" i="43"/>
  <c r="C147" i="43"/>
  <c r="C43" i="43"/>
  <c r="C40" i="43"/>
  <c r="C85" i="43"/>
  <c r="C232" i="43"/>
  <c r="C32" i="43"/>
  <c r="C93" i="43"/>
  <c r="C49" i="43"/>
  <c r="C10" i="43"/>
  <c r="C57" i="43"/>
  <c r="C71" i="43"/>
  <c r="C190" i="43"/>
  <c r="C236" i="43"/>
  <c r="C131" i="43"/>
  <c r="C184" i="43"/>
  <c r="C74" i="43"/>
  <c r="C62" i="43"/>
  <c r="C91" i="43"/>
  <c r="C48" i="43"/>
  <c r="C70" i="43"/>
  <c r="C141" i="43"/>
  <c r="C13" i="43"/>
  <c r="C54" i="43"/>
  <c r="C9" i="43"/>
  <c r="C34" i="43"/>
  <c r="C25" i="43"/>
  <c r="C231" i="43"/>
  <c r="C222" i="43"/>
  <c r="C42" i="43"/>
  <c r="C180" i="43"/>
  <c r="C159" i="43"/>
  <c r="C199" i="43"/>
  <c r="C211" i="43"/>
  <c r="C36" i="43"/>
  <c r="C59" i="43"/>
  <c r="C224" i="43"/>
  <c r="C100" i="43"/>
  <c r="C72" i="43"/>
  <c r="C207" i="43"/>
  <c r="C6" i="43"/>
  <c r="C5" i="43"/>
  <c r="C4" i="43"/>
  <c r="AP18" i="43"/>
  <c r="AP13" i="43"/>
  <c r="S62" i="43"/>
  <c r="S216" i="43"/>
  <c r="S168" i="43"/>
  <c r="S46" i="43"/>
  <c r="S10" i="43"/>
  <c r="S119" i="43"/>
  <c r="S137" i="43"/>
  <c r="S203" i="43"/>
  <c r="S142" i="43"/>
  <c r="S75" i="43"/>
  <c r="S39" i="43"/>
  <c r="S198" i="43"/>
  <c r="S138" i="43"/>
  <c r="S221" i="43"/>
  <c r="S218" i="43"/>
  <c r="S78" i="43"/>
  <c r="S12" i="43"/>
  <c r="S120" i="43"/>
  <c r="S16" i="43"/>
  <c r="S49" i="43"/>
  <c r="S86" i="43"/>
  <c r="S37" i="43"/>
  <c r="S47" i="43"/>
  <c r="S42" i="43"/>
  <c r="S66" i="43"/>
  <c r="S215" i="43"/>
  <c r="S228" i="43"/>
  <c r="S151" i="43"/>
  <c r="S130" i="43"/>
  <c r="S6" i="43"/>
  <c r="S230" i="43"/>
  <c r="S27" i="43"/>
  <c r="S177" i="43"/>
  <c r="S155" i="43"/>
  <c r="S199" i="43"/>
  <c r="S174" i="43"/>
  <c r="S176" i="43"/>
  <c r="S15" i="43"/>
  <c r="S101" i="43"/>
  <c r="S195" i="43"/>
  <c r="S188" i="43"/>
  <c r="S152" i="43"/>
  <c r="S73" i="43"/>
  <c r="S96" i="43"/>
  <c r="S189" i="43"/>
  <c r="S231" i="43"/>
  <c r="S233" i="43"/>
  <c r="S226" i="43"/>
  <c r="S108" i="43"/>
  <c r="S50" i="43"/>
  <c r="S210" i="43"/>
  <c r="S181" i="43"/>
  <c r="S222" i="43"/>
  <c r="S202" i="43"/>
  <c r="S171" i="43"/>
  <c r="S70" i="43"/>
  <c r="S123" i="43"/>
  <c r="S57" i="43"/>
  <c r="S128" i="43"/>
  <c r="S8" i="43"/>
  <c r="S51" i="43"/>
  <c r="S118" i="43"/>
  <c r="S64" i="43"/>
  <c r="S74" i="43"/>
  <c r="S165" i="43"/>
  <c r="S148" i="43"/>
  <c r="S145" i="43"/>
  <c r="S115" i="43"/>
  <c r="S126" i="43"/>
  <c r="S17" i="43"/>
  <c r="S67" i="43"/>
  <c r="S92" i="43"/>
  <c r="S45" i="43"/>
  <c r="S211" i="43"/>
  <c r="S30" i="43"/>
  <c r="S55" i="43"/>
  <c r="S28" i="43"/>
  <c r="S121" i="43"/>
  <c r="S175" i="43"/>
  <c r="S166" i="43"/>
  <c r="S154" i="43"/>
  <c r="S81" i="43"/>
  <c r="S88" i="43"/>
  <c r="S157" i="43"/>
  <c r="S21" i="43"/>
  <c r="S102" i="43"/>
  <c r="S110" i="43"/>
  <c r="S65" i="43"/>
  <c r="S40" i="43"/>
  <c r="S7" i="43"/>
  <c r="S124" i="43"/>
  <c r="S111" i="43"/>
  <c r="S144" i="43"/>
  <c r="S53" i="43"/>
  <c r="S93" i="43"/>
  <c r="S178" i="43"/>
  <c r="S160" i="43"/>
  <c r="S182" i="43"/>
  <c r="S232" i="43"/>
  <c r="S196" i="43"/>
  <c r="S193" i="43"/>
  <c r="S32" i="43"/>
  <c r="S106" i="43"/>
  <c r="S97" i="43"/>
  <c r="S29" i="43"/>
  <c r="S125" i="43"/>
  <c r="S234" i="43"/>
  <c r="S227" i="43"/>
  <c r="S208" i="43"/>
  <c r="S190" i="43"/>
  <c r="S58" i="43"/>
  <c r="S82" i="43"/>
  <c r="S109" i="43"/>
  <c r="S61" i="43"/>
  <c r="S36" i="43"/>
  <c r="S205" i="43"/>
  <c r="S237" i="43"/>
  <c r="S162" i="43"/>
  <c r="S163" i="43"/>
  <c r="S4" i="43"/>
  <c r="S191" i="43"/>
  <c r="S72" i="43"/>
  <c r="S80" i="43"/>
  <c r="S107" i="43"/>
  <c r="S48" i="43"/>
  <c r="S156" i="43"/>
  <c r="S153" i="43"/>
  <c r="S240" i="43"/>
  <c r="S9" i="43"/>
  <c r="S11" i="43"/>
  <c r="S104" i="43"/>
  <c r="S223" i="43"/>
  <c r="S219" i="43"/>
  <c r="S212" i="43"/>
  <c r="S38" i="43"/>
  <c r="S192" i="43"/>
  <c r="S44" i="43"/>
  <c r="S89" i="43"/>
  <c r="S95" i="43"/>
  <c r="S116" i="43"/>
  <c r="S204" i="43"/>
  <c r="S146" i="43"/>
  <c r="S150" i="43"/>
  <c r="S133" i="43"/>
  <c r="S159" i="43"/>
  <c r="S167" i="43"/>
  <c r="S68" i="43"/>
  <c r="S24" i="43"/>
  <c r="S200" i="43"/>
  <c r="S141" i="43"/>
  <c r="S179" i="43"/>
  <c r="S131" i="43"/>
  <c r="S180" i="43"/>
  <c r="S224" i="43"/>
  <c r="S185" i="43"/>
  <c r="S170" i="43"/>
  <c r="S33" i="43"/>
  <c r="S63" i="43"/>
  <c r="S186" i="43"/>
  <c r="S34" i="43"/>
  <c r="S23" i="43"/>
  <c r="S112" i="43"/>
  <c r="S98" i="43"/>
  <c r="S206" i="43"/>
  <c r="S149" i="43"/>
  <c r="S235" i="43"/>
  <c r="S229" i="43"/>
  <c r="S85" i="43"/>
  <c r="S87" i="43"/>
  <c r="S132" i="43"/>
  <c r="S25" i="43"/>
  <c r="S22" i="43"/>
  <c r="S183" i="43"/>
  <c r="S217" i="43"/>
  <c r="S60" i="43"/>
  <c r="S13" i="43"/>
  <c r="S56" i="43"/>
  <c r="S20" i="43"/>
  <c r="S69" i="43"/>
  <c r="S164" i="43"/>
  <c r="S14" i="43"/>
  <c r="S238" i="43"/>
  <c r="S59" i="43"/>
  <c r="S173" i="43"/>
  <c r="S140" i="43"/>
  <c r="S54" i="43"/>
  <c r="S71" i="43"/>
  <c r="S35" i="43"/>
  <c r="S79" i="43"/>
  <c r="S117" i="43"/>
  <c r="S220" i="43"/>
  <c r="S213" i="43"/>
  <c r="S134" i="43"/>
  <c r="S94" i="43"/>
  <c r="S114" i="43"/>
  <c r="S122" i="43"/>
  <c r="S127" i="43"/>
  <c r="S129" i="43"/>
  <c r="S214" i="43"/>
  <c r="S52" i="43"/>
  <c r="S209" i="43"/>
  <c r="S26" i="43"/>
  <c r="S91" i="43"/>
  <c r="S201" i="43"/>
  <c r="S169" i="43"/>
  <c r="S90" i="43"/>
  <c r="S197" i="43"/>
  <c r="S99" i="43"/>
  <c r="S18" i="43"/>
  <c r="S158" i="43"/>
  <c r="S139" i="43"/>
  <c r="S83" i="43"/>
  <c r="S31" i="43"/>
  <c r="S172" i="43"/>
  <c r="S135" i="43"/>
  <c r="S207" i="43"/>
  <c r="S194" i="43"/>
  <c r="S187" i="43"/>
  <c r="S76" i="43"/>
  <c r="S184" i="43"/>
  <c r="S113" i="43"/>
  <c r="S105" i="43"/>
  <c r="S100" i="43"/>
  <c r="S77" i="43"/>
  <c r="S225" i="43"/>
  <c r="S147" i="43"/>
  <c r="S236" i="43"/>
  <c r="S103" i="43"/>
  <c r="S84" i="43"/>
  <c r="S143" i="43"/>
  <c r="S136" i="43"/>
  <c r="S41" i="43"/>
  <c r="S161" i="43"/>
  <c r="S239" i="43"/>
  <c r="S19" i="43"/>
  <c r="S43" i="43"/>
  <c r="S5" i="43"/>
  <c r="S3" i="43"/>
  <c r="AC10" i="42"/>
  <c r="AC19" i="42"/>
  <c r="AP8" i="43"/>
  <c r="AP12" i="43"/>
  <c r="AP6" i="43"/>
  <c r="C8" i="41"/>
  <c r="J8" i="41" s="1"/>
  <c r="L8" i="46"/>
  <c r="L7" i="45"/>
  <c r="L7" i="48"/>
  <c r="L7" i="46"/>
  <c r="AK9" i="42"/>
  <c r="C10" i="41"/>
  <c r="J10" i="41" s="1"/>
  <c r="J115" i="28"/>
  <c r="AS16" i="43"/>
  <c r="AS6" i="43"/>
  <c r="AS8" i="43"/>
  <c r="AS10" i="43"/>
  <c r="AK7" i="42"/>
  <c r="J113" i="28"/>
  <c r="C135" i="32"/>
  <c r="C11" i="45"/>
  <c r="C130" i="34"/>
  <c r="C13" i="50"/>
  <c r="C11" i="46"/>
  <c r="C116" i="28"/>
  <c r="C132" i="30"/>
  <c r="C132" i="36"/>
  <c r="C11" i="48"/>
  <c r="C133" i="38"/>
  <c r="AS13" i="43"/>
  <c r="J32" i="25"/>
  <c r="D7" i="48" s="1"/>
  <c r="I9" i="50"/>
  <c r="I8" i="45"/>
  <c r="I7" i="45"/>
  <c r="I128" i="30"/>
  <c r="I129" i="38"/>
  <c r="I127" i="34"/>
  <c r="I8" i="46"/>
  <c r="I8" i="48"/>
  <c r="I129" i="30"/>
  <c r="I126" i="34"/>
  <c r="I7" i="48"/>
  <c r="I128" i="36"/>
  <c r="I130" i="38"/>
  <c r="I131" i="32"/>
  <c r="I8" i="41"/>
  <c r="N8" i="41" s="1"/>
  <c r="I129" i="36"/>
  <c r="I10" i="50"/>
  <c r="I7" i="46"/>
  <c r="I7" i="41"/>
  <c r="I112" i="28"/>
  <c r="I132" i="32"/>
  <c r="I113" i="28"/>
  <c r="AS14" i="43"/>
  <c r="L8" i="45"/>
  <c r="L8" i="48"/>
  <c r="L7" i="41"/>
  <c r="AC11" i="42"/>
  <c r="AC8" i="42"/>
  <c r="AC5" i="42"/>
  <c r="AC9" i="42"/>
  <c r="AC14" i="42"/>
  <c r="AC4" i="42"/>
  <c r="AC13" i="42"/>
  <c r="AC16" i="42"/>
  <c r="AC12" i="42"/>
  <c r="AC7" i="42"/>
  <c r="AC15" i="42"/>
  <c r="AC17" i="42"/>
  <c r="AC18" i="42"/>
  <c r="Y5" i="42"/>
  <c r="AE18" i="42"/>
  <c r="AE13" i="42"/>
  <c r="Z5" i="42"/>
  <c r="Y4" i="42"/>
  <c r="AE12" i="42"/>
  <c r="AB5" i="42"/>
  <c r="AS11" i="43"/>
  <c r="AS19" i="43"/>
  <c r="AS7" i="43"/>
  <c r="AS15" i="43"/>
  <c r="AE11" i="42"/>
  <c r="AE19" i="42"/>
  <c r="AE17" i="42"/>
  <c r="AE5" i="42"/>
  <c r="AE9" i="42"/>
  <c r="AE8" i="42"/>
  <c r="AE6" i="42"/>
  <c r="AE10" i="42"/>
  <c r="AA4" i="42"/>
  <c r="AE7" i="42"/>
  <c r="AE14" i="42"/>
  <c r="AS12" i="43"/>
  <c r="AS5" i="43"/>
  <c r="AS17" i="43"/>
  <c r="AS9" i="43"/>
  <c r="AE16" i="42"/>
  <c r="AE15" i="42"/>
  <c r="AA18" i="42"/>
  <c r="AA16" i="42"/>
  <c r="AA9" i="42"/>
  <c r="AA11" i="42"/>
  <c r="AA12" i="42"/>
  <c r="AA15" i="42"/>
  <c r="AA19" i="42"/>
  <c r="AA10" i="42"/>
  <c r="AA7" i="42"/>
  <c r="AA14" i="42"/>
  <c r="AA13" i="42"/>
  <c r="AA17" i="42"/>
  <c r="AA6" i="42"/>
  <c r="AA8" i="42"/>
  <c r="AB8" i="42"/>
  <c r="AB15" i="42"/>
  <c r="AB11" i="42"/>
  <c r="AB10" i="42"/>
  <c r="AB18" i="42"/>
  <c r="AB9" i="42"/>
  <c r="AB12" i="42"/>
  <c r="AB17" i="42"/>
  <c r="AB19" i="42"/>
  <c r="AB7" i="42"/>
  <c r="AB16" i="42"/>
  <c r="AB14" i="42"/>
  <c r="AB13" i="42"/>
  <c r="AB6" i="42"/>
  <c r="Z10" i="42"/>
  <c r="Z9" i="42"/>
  <c r="Z15" i="42"/>
  <c r="Y6" i="42"/>
  <c r="Z13" i="42"/>
  <c r="Z16" i="42"/>
  <c r="Z11" i="42"/>
  <c r="Y8" i="42"/>
  <c r="Z8" i="42"/>
  <c r="Y7" i="42"/>
  <c r="Y10" i="42"/>
  <c r="Z6" i="42"/>
  <c r="Y9" i="42"/>
  <c r="Z14" i="42"/>
  <c r="Z12" i="42"/>
  <c r="Z18" i="42"/>
  <c r="Z7" i="42"/>
  <c r="Z19" i="42"/>
  <c r="Z17" i="42"/>
  <c r="Y3" i="42"/>
  <c r="Z3" i="42"/>
  <c r="AA3" i="42"/>
  <c r="AE3" i="42"/>
  <c r="AD3" i="42"/>
  <c r="AC3" i="42"/>
  <c r="AB3" i="42"/>
  <c r="B21" i="35" a="1"/>
  <c r="B21" i="31" a="1"/>
  <c r="N32" i="18" l="1"/>
  <c r="N45" i="18"/>
  <c r="N33" i="18"/>
  <c r="T56" i="57"/>
  <c r="T58" i="57" s="1"/>
  <c r="R56" i="57"/>
  <c r="R58" i="57" s="1"/>
  <c r="S56" i="57"/>
  <c r="S58" i="57" s="1"/>
  <c r="Q60" i="57"/>
  <c r="R59" i="57" s="1"/>
  <c r="N29" i="18"/>
  <c r="N44" i="18"/>
  <c r="N41" i="18"/>
  <c r="N40" i="18"/>
  <c r="C39" i="18"/>
  <c r="G41" i="18"/>
  <c r="D41" i="18" s="1"/>
  <c r="H41" i="18" s="1"/>
  <c r="AZ6" i="43"/>
  <c r="J112" i="28"/>
  <c r="C7" i="41"/>
  <c r="J7" i="41" s="1"/>
  <c r="J9" i="50"/>
  <c r="C9" i="46"/>
  <c r="J9" i="46" s="1"/>
  <c r="C130" i="30"/>
  <c r="J130" i="30" s="1"/>
  <c r="C131" i="38"/>
  <c r="J131" i="38" s="1"/>
  <c r="C9" i="45"/>
  <c r="J9" i="45" s="1"/>
  <c r="C130" i="36"/>
  <c r="J130" i="36" s="1"/>
  <c r="C11" i="50"/>
  <c r="C133" i="32"/>
  <c r="J133" i="32" s="1"/>
  <c r="C9" i="48"/>
  <c r="J9" i="48" s="1"/>
  <c r="C128" i="34"/>
  <c r="J128" i="34" s="1"/>
  <c r="C114" i="28"/>
  <c r="AK8" i="42" s="1"/>
  <c r="J8" i="50"/>
  <c r="EV20" i="7"/>
  <c r="DQ28" i="7"/>
  <c r="DQ27" i="7"/>
  <c r="DQ29" i="7"/>
  <c r="DQ26" i="7"/>
  <c r="BV9" i="49"/>
  <c r="O46" i="1"/>
  <c r="O60" i="1" s="1"/>
  <c r="BV18" i="2" s="1"/>
  <c r="BW18" i="2" s="1"/>
  <c r="L8" i="2"/>
  <c r="M8" i="2"/>
  <c r="R14" i="7"/>
  <c r="S13" i="7" s="1"/>
  <c r="BJ19" i="47"/>
  <c r="R14" i="1"/>
  <c r="Q45" i="1" s="1"/>
  <c r="F15" i="7"/>
  <c r="G15" i="7" s="1"/>
  <c r="V14" i="7" s="1"/>
  <c r="F15" i="1"/>
  <c r="F13" i="1" s="1"/>
  <c r="AR12" i="43"/>
  <c r="BV3" i="49"/>
  <c r="BV6" i="49"/>
  <c r="BV10" i="49"/>
  <c r="BV7" i="49"/>
  <c r="B22" i="11"/>
  <c r="BV8" i="49"/>
  <c r="BV5" i="49"/>
  <c r="D12" i="5"/>
  <c r="E12" i="5" s="1"/>
  <c r="EV21" i="7"/>
  <c r="BB16" i="7"/>
  <c r="BD16" i="7" s="1"/>
  <c r="AR5" i="43"/>
  <c r="AS4" i="43"/>
  <c r="E13" i="50"/>
  <c r="E15" i="50" s="1"/>
  <c r="CA4" i="49"/>
  <c r="D34" i="5"/>
  <c r="E34" i="5" s="1"/>
  <c r="AS3" i="43"/>
  <c r="D14" i="5"/>
  <c r="E14" i="5" s="1"/>
  <c r="CW42" i="7"/>
  <c r="EX19" i="7" s="1"/>
  <c r="EY19" i="7" s="1"/>
  <c r="D33" i="5"/>
  <c r="E33" i="5" s="1"/>
  <c r="D11" i="5"/>
  <c r="E11" i="5" s="1"/>
  <c r="D17" i="5"/>
  <c r="D13" i="5"/>
  <c r="E13" i="5" s="1"/>
  <c r="D16" i="5"/>
  <c r="E17" i="5" s="1"/>
  <c r="EV22" i="7"/>
  <c r="BJ18" i="47"/>
  <c r="CA3" i="49"/>
  <c r="AR8" i="43"/>
  <c r="AR6" i="43"/>
  <c r="AR14" i="43"/>
  <c r="AR15" i="43"/>
  <c r="AR11" i="43"/>
  <c r="AR19" i="43"/>
  <c r="AR10" i="43"/>
  <c r="AR16" i="43"/>
  <c r="AR13" i="43"/>
  <c r="AR17" i="43"/>
  <c r="AR9" i="43"/>
  <c r="CA16" i="49"/>
  <c r="AR7" i="43"/>
  <c r="BH15" i="47"/>
  <c r="CB5" i="49"/>
  <c r="CA5" i="49"/>
  <c r="CA18" i="49"/>
  <c r="CA13" i="49"/>
  <c r="CB7" i="49"/>
  <c r="CA12" i="49"/>
  <c r="CA17" i="49"/>
  <c r="CA7" i="49"/>
  <c r="CB12" i="49"/>
  <c r="CA9" i="49"/>
  <c r="CA19" i="49"/>
  <c r="CA8" i="49"/>
  <c r="CA10" i="49"/>
  <c r="CA15" i="49"/>
  <c r="CA14" i="49"/>
  <c r="CA6" i="49"/>
  <c r="CA11" i="49"/>
  <c r="BX5" i="49"/>
  <c r="BH11" i="47"/>
  <c r="CB6" i="49"/>
  <c r="BH7" i="47"/>
  <c r="BJ16" i="47"/>
  <c r="BJ6" i="47"/>
  <c r="BX4" i="49"/>
  <c r="CB15" i="49"/>
  <c r="BH3" i="47"/>
  <c r="BJ14" i="47"/>
  <c r="BJ15" i="47"/>
  <c r="CB13" i="49"/>
  <c r="BJ5" i="47"/>
  <c r="BJ7" i="47"/>
  <c r="CB10" i="49"/>
  <c r="CB8" i="49"/>
  <c r="BH18" i="47"/>
  <c r="BJ11" i="47"/>
  <c r="BJ17" i="47"/>
  <c r="CB17" i="49"/>
  <c r="CB16" i="49"/>
  <c r="CB14" i="49"/>
  <c r="CB18" i="49"/>
  <c r="BJ13" i="47"/>
  <c r="BJ12" i="47"/>
  <c r="CB11" i="49"/>
  <c r="BZ17" i="49"/>
  <c r="P46" i="1"/>
  <c r="BJ9" i="47"/>
  <c r="BJ10" i="47"/>
  <c r="CB9" i="49"/>
  <c r="BJ8" i="47"/>
  <c r="CB19" i="49"/>
  <c r="BZ9" i="49"/>
  <c r="BX12" i="49"/>
  <c r="D27" i="5"/>
  <c r="E27" i="5" s="1"/>
  <c r="D31" i="5"/>
  <c r="E31" i="5" s="1"/>
  <c r="D36" i="5"/>
  <c r="E36" i="5" s="1"/>
  <c r="D35" i="5"/>
  <c r="E35" i="5" s="1"/>
  <c r="D28" i="5"/>
  <c r="E28" i="5" s="1"/>
  <c r="D38" i="5"/>
  <c r="E38" i="5" s="1"/>
  <c r="D29" i="5"/>
  <c r="E29" i="5" s="1"/>
  <c r="D30" i="5"/>
  <c r="E30" i="5" s="1"/>
  <c r="BW28" i="2"/>
  <c r="D32" i="5"/>
  <c r="E32" i="5" s="1"/>
  <c r="BK13" i="47"/>
  <c r="AT9" i="43"/>
  <c r="CB4" i="49"/>
  <c r="BW12" i="49"/>
  <c r="BX6" i="49"/>
  <c r="BX17" i="49"/>
  <c r="BX16" i="49"/>
  <c r="BX13" i="49"/>
  <c r="BX7" i="49"/>
  <c r="BZ7" i="49"/>
  <c r="BZ19" i="49"/>
  <c r="CB3" i="49"/>
  <c r="BW5" i="49"/>
  <c r="BZ3" i="49"/>
  <c r="BK12" i="47"/>
  <c r="BK16" i="47"/>
  <c r="BX9" i="49"/>
  <c r="BX8" i="49"/>
  <c r="BZ10" i="49"/>
  <c r="BZ15" i="49"/>
  <c r="BJ3" i="47"/>
  <c r="AP4" i="43"/>
  <c r="AR4" i="43"/>
  <c r="AT13" i="43"/>
  <c r="BX10" i="49"/>
  <c r="BX15" i="49"/>
  <c r="BX3" i="49"/>
  <c r="BZ12" i="49"/>
  <c r="BZ16" i="49"/>
  <c r="BZ5" i="49"/>
  <c r="BZ8" i="49"/>
  <c r="BX11" i="49"/>
  <c r="BX19" i="49"/>
  <c r="BZ18" i="49"/>
  <c r="BZ11" i="49"/>
  <c r="BZ13" i="49"/>
  <c r="BW10" i="49"/>
  <c r="BX14" i="49"/>
  <c r="BX18" i="49"/>
  <c r="BZ14" i="49"/>
  <c r="BZ6" i="49"/>
  <c r="BH5" i="47"/>
  <c r="BH14" i="47"/>
  <c r="BJ4" i="47"/>
  <c r="BK10" i="47"/>
  <c r="BK14" i="47"/>
  <c r="BW16" i="49"/>
  <c r="BW15" i="49"/>
  <c r="AT19" i="43"/>
  <c r="BZ4" i="49"/>
  <c r="BH6" i="47"/>
  <c r="BH12" i="47"/>
  <c r="BK5" i="47"/>
  <c r="BK6" i="47"/>
  <c r="BW9" i="49"/>
  <c r="BW14" i="49"/>
  <c r="AT6" i="43"/>
  <c r="AT18" i="43"/>
  <c r="AT11" i="43"/>
  <c r="BW3" i="49"/>
  <c r="BH17" i="47"/>
  <c r="BH8" i="47"/>
  <c r="BK3" i="47"/>
  <c r="BK17" i="47"/>
  <c r="BW6" i="49"/>
  <c r="BW17" i="49"/>
  <c r="AT15" i="43"/>
  <c r="AT16" i="43"/>
  <c r="AR3" i="43"/>
  <c r="BW11" i="49"/>
  <c r="B40" i="18"/>
  <c r="B24" i="18" s="1"/>
  <c r="BH9" i="47"/>
  <c r="BH16" i="47"/>
  <c r="BH10" i="47"/>
  <c r="BK11" i="47"/>
  <c r="BK19" i="47"/>
  <c r="BK9" i="47"/>
  <c r="BW8" i="49"/>
  <c r="BW18" i="49"/>
  <c r="AT14" i="43"/>
  <c r="AT7" i="43"/>
  <c r="AT12" i="43"/>
  <c r="AJ8" i="42"/>
  <c r="M11" i="50" s="1"/>
  <c r="BH13" i="47"/>
  <c r="BH4" i="47"/>
  <c r="BK4" i="47"/>
  <c r="BK15" i="47"/>
  <c r="BW13" i="49"/>
  <c r="AT10" i="43"/>
  <c r="AT17" i="43"/>
  <c r="AT3" i="43"/>
  <c r="BH19" i="47"/>
  <c r="BK18" i="47"/>
  <c r="BK8" i="47"/>
  <c r="BW4" i="49"/>
  <c r="BW19" i="49"/>
  <c r="AT4" i="43"/>
  <c r="AT8" i="43"/>
  <c r="BK7" i="47"/>
  <c r="BW7" i="49"/>
  <c r="AT5" i="43"/>
  <c r="AP3" i="43"/>
  <c r="BL12" i="47"/>
  <c r="B40" i="19"/>
  <c r="B24" i="19" s="1"/>
  <c r="G40" i="18"/>
  <c r="C39" i="19"/>
  <c r="G39" i="19"/>
  <c r="G40" i="19"/>
  <c r="BL9" i="47"/>
  <c r="BL11" i="47"/>
  <c r="BL8" i="47"/>
  <c r="BG15" i="47"/>
  <c r="AQ3" i="43"/>
  <c r="AN4" i="43"/>
  <c r="AN10" i="43"/>
  <c r="AN7" i="43"/>
  <c r="AN8" i="43"/>
  <c r="BI11" i="47"/>
  <c r="BI17" i="47"/>
  <c r="BG16" i="47"/>
  <c r="BG19" i="47"/>
  <c r="BG9" i="47"/>
  <c r="AO17" i="43"/>
  <c r="BI4" i="47"/>
  <c r="BY15" i="49"/>
  <c r="BG7" i="47"/>
  <c r="BI16" i="47"/>
  <c r="BI13" i="47"/>
  <c r="BG13" i="47"/>
  <c r="BG14" i="47"/>
  <c r="BI9" i="47"/>
  <c r="BI6" i="47"/>
  <c r="BI3" i="47"/>
  <c r="BI8" i="47"/>
  <c r="BG18" i="47"/>
  <c r="BG17" i="47"/>
  <c r="BI19" i="47"/>
  <c r="BI18" i="47"/>
  <c r="BG5" i="47"/>
  <c r="BG6" i="47"/>
  <c r="BG4" i="47"/>
  <c r="BG8" i="47"/>
  <c r="BG10" i="47"/>
  <c r="BI10" i="47"/>
  <c r="BI5" i="47"/>
  <c r="BI15" i="47"/>
  <c r="BG3" i="47"/>
  <c r="BG11" i="47"/>
  <c r="BI7" i="47"/>
  <c r="BI14" i="47"/>
  <c r="BG12" i="47"/>
  <c r="BI12" i="47"/>
  <c r="BY4" i="49"/>
  <c r="BL4" i="47"/>
  <c r="BL18" i="47"/>
  <c r="AO19" i="43"/>
  <c r="BL7" i="47"/>
  <c r="BL6" i="47"/>
  <c r="BL17" i="47"/>
  <c r="BY7" i="49"/>
  <c r="BL5" i="47"/>
  <c r="BL14" i="47"/>
  <c r="AO14" i="43"/>
  <c r="BL3" i="47"/>
  <c r="BL13" i="47"/>
  <c r="BY11" i="49"/>
  <c r="BL16" i="47"/>
  <c r="BL10" i="47"/>
  <c r="BL15" i="47"/>
  <c r="AO12" i="43"/>
  <c r="BL19" i="47"/>
  <c r="AO16" i="43"/>
  <c r="BY16" i="49"/>
  <c r="BY5" i="49"/>
  <c r="AQ6" i="43"/>
  <c r="J7" i="50"/>
  <c r="J13" i="50" s="1"/>
  <c r="F11" i="50"/>
  <c r="N8" i="46"/>
  <c r="BY18" i="49"/>
  <c r="BY12" i="49"/>
  <c r="BY3" i="49"/>
  <c r="BY14" i="49"/>
  <c r="BY19" i="49"/>
  <c r="BY6" i="49"/>
  <c r="BY13" i="49"/>
  <c r="BY17" i="49"/>
  <c r="BY8" i="49"/>
  <c r="BY10" i="49"/>
  <c r="BY9" i="49"/>
  <c r="AO11" i="43"/>
  <c r="AO15" i="43"/>
  <c r="AO13" i="43"/>
  <c r="AO8" i="43"/>
  <c r="AO9" i="43"/>
  <c r="AO3" i="43"/>
  <c r="AO6" i="43"/>
  <c r="AN5" i="43"/>
  <c r="AN9" i="43"/>
  <c r="AO18" i="43"/>
  <c r="AN6" i="43"/>
  <c r="AO5" i="43"/>
  <c r="AO10" i="43"/>
  <c r="AO7" i="43"/>
  <c r="AQ14" i="43"/>
  <c r="AO4" i="43"/>
  <c r="AQ9" i="43"/>
  <c r="AQ4" i="43"/>
  <c r="AQ5" i="43"/>
  <c r="AQ8" i="43"/>
  <c r="AQ18" i="43"/>
  <c r="AQ7" i="43"/>
  <c r="AQ19" i="43"/>
  <c r="AQ10" i="43"/>
  <c r="AQ17" i="43"/>
  <c r="AQ13" i="43"/>
  <c r="AQ11" i="43"/>
  <c r="AQ12" i="43"/>
  <c r="F143" i="32"/>
  <c r="F148" i="32" s="1"/>
  <c r="C20" i="33" s="1"/>
  <c r="C47" i="33" s="1"/>
  <c r="AQ16" i="43"/>
  <c r="AQ15" i="43"/>
  <c r="BF7" i="47"/>
  <c r="BF6" i="47"/>
  <c r="BF4" i="47"/>
  <c r="BF5" i="47"/>
  <c r="BF3" i="47"/>
  <c r="BF9" i="47"/>
  <c r="BF8" i="47"/>
  <c r="BF10" i="47"/>
  <c r="N7" i="45"/>
  <c r="N7" i="48"/>
  <c r="N7" i="46"/>
  <c r="D112" i="28"/>
  <c r="D7" i="41" s="1"/>
  <c r="D129" i="38"/>
  <c r="D126" i="34"/>
  <c r="D9" i="50"/>
  <c r="D131" i="32"/>
  <c r="D128" i="30"/>
  <c r="D7" i="45"/>
  <c r="D128" i="36"/>
  <c r="D7" i="46"/>
  <c r="AJ6" i="42"/>
  <c r="AM6" i="42" s="1"/>
  <c r="N8" i="45"/>
  <c r="N7" i="41"/>
  <c r="AZ10" i="43"/>
  <c r="C11" i="41"/>
  <c r="AK10" i="42"/>
  <c r="N8" i="48"/>
  <c r="AJ7" i="42"/>
  <c r="AM7" i="42" s="1"/>
  <c r="AJ9" i="42"/>
  <c r="AL9" i="42" s="1"/>
  <c r="AJ5" i="42"/>
  <c r="B21" i="31"/>
  <c r="B21" i="35"/>
  <c r="AJ4" i="42"/>
  <c r="M7" i="50" s="1"/>
  <c r="N24" i="51"/>
  <c r="E51" i="35"/>
  <c r="C48" i="35"/>
  <c r="D51" i="35"/>
  <c r="G51" i="35"/>
  <c r="E48" i="35"/>
  <c r="H51" i="35"/>
  <c r="B46" i="35"/>
  <c r="C47" i="35"/>
  <c r="F51" i="35"/>
  <c r="B46" i="31"/>
  <c r="E48" i="31"/>
  <c r="F51" i="31"/>
  <c r="C48" i="31"/>
  <c r="H51" i="31"/>
  <c r="N20" i="51"/>
  <c r="G51" i="31"/>
  <c r="D51" i="31"/>
  <c r="E51" i="31"/>
  <c r="C47" i="31"/>
  <c r="B21" i="33" a="1"/>
  <c r="R60" i="57" l="1"/>
  <c r="S59" i="57" s="1"/>
  <c r="S60" i="57" s="1"/>
  <c r="T59" i="57" s="1"/>
  <c r="T60" i="57" s="1"/>
  <c r="H13" i="18"/>
  <c r="V42" i="18" s="1"/>
  <c r="AY5" i="43"/>
  <c r="J114" i="28"/>
  <c r="C9" i="41"/>
  <c r="J9" i="41" s="1"/>
  <c r="AZ8" i="43"/>
  <c r="J11" i="50"/>
  <c r="Q8" i="2"/>
  <c r="S8" i="2" s="1"/>
  <c r="P59" i="1"/>
  <c r="P60" i="1" s="1"/>
  <c r="BV19" i="2" s="1"/>
  <c r="BW19" i="2" s="1"/>
  <c r="H15" i="7"/>
  <c r="X14" i="7" s="1"/>
  <c r="G13" i="7"/>
  <c r="Q44" i="1"/>
  <c r="Q43" i="1"/>
  <c r="R16" i="1"/>
  <c r="S13" i="1"/>
  <c r="G15" i="1"/>
  <c r="V14" i="1" s="1"/>
  <c r="T14" i="1"/>
  <c r="R43" i="1" s="1"/>
  <c r="CF9" i="49"/>
  <c r="CH9" i="49" s="1"/>
  <c r="EX20" i="7"/>
  <c r="EY20" i="7" s="1"/>
  <c r="F13" i="7"/>
  <c r="T14" i="7"/>
  <c r="T16" i="7" s="1"/>
  <c r="R16" i="7"/>
  <c r="AY8" i="43"/>
  <c r="CF4" i="49"/>
  <c r="CH4" i="49" s="1"/>
  <c r="EX18" i="7"/>
  <c r="EY18" i="7" s="1"/>
  <c r="EX21" i="7"/>
  <c r="EY21" i="7" s="1"/>
  <c r="EX22" i="7"/>
  <c r="EY22" i="7" s="1"/>
  <c r="EX16" i="7"/>
  <c r="EY16" i="7" s="1"/>
  <c r="DS14" i="7"/>
  <c r="EX17" i="7"/>
  <c r="EY17" i="7" s="1"/>
  <c r="BP6" i="47"/>
  <c r="BS6" i="47" s="1"/>
  <c r="E16" i="5"/>
  <c r="L15" i="18"/>
  <c r="J18" i="18"/>
  <c r="L17" i="18"/>
  <c r="AY7" i="43"/>
  <c r="BB7" i="43" s="1"/>
  <c r="H15" i="18"/>
  <c r="AP42" i="18" s="1"/>
  <c r="L14" i="18"/>
  <c r="L18" i="18"/>
  <c r="CF6" i="49"/>
  <c r="CI6" i="49" s="1"/>
  <c r="CF8" i="49"/>
  <c r="CH8" i="49" s="1"/>
  <c r="H17" i="18"/>
  <c r="BJ42" i="18" s="1"/>
  <c r="AY9" i="43"/>
  <c r="BA9" i="43" s="1"/>
  <c r="BP9" i="47"/>
  <c r="Q12" i="50" s="1"/>
  <c r="BP8" i="47"/>
  <c r="Q11" i="50" s="1"/>
  <c r="U11" i="50" s="1"/>
  <c r="CF5" i="49"/>
  <c r="D37" i="5"/>
  <c r="E37" i="5" s="1"/>
  <c r="H14" i="18"/>
  <c r="AF42" i="18" s="1"/>
  <c r="L13" i="18"/>
  <c r="H18" i="18"/>
  <c r="BT42" i="18" s="1"/>
  <c r="L16" i="18"/>
  <c r="H16" i="18"/>
  <c r="AZ42" i="18" s="1"/>
  <c r="G41" i="19"/>
  <c r="D41" i="19" s="1"/>
  <c r="H41" i="19" s="1"/>
  <c r="D39" i="19"/>
  <c r="H39" i="19" s="1"/>
  <c r="D40" i="18"/>
  <c r="I39" i="18" s="1"/>
  <c r="B23" i="18" s="1"/>
  <c r="D13" i="18" s="1"/>
  <c r="G13" i="18" s="1"/>
  <c r="S20" i="18" s="1"/>
  <c r="N24" i="18"/>
  <c r="L18" i="19"/>
  <c r="H18" i="19"/>
  <c r="BT42" i="19" s="1"/>
  <c r="J18" i="19"/>
  <c r="H17" i="19"/>
  <c r="BJ42" i="19" s="1"/>
  <c r="H15" i="19"/>
  <c r="AP42" i="19" s="1"/>
  <c r="H13" i="19"/>
  <c r="V42" i="19" s="1"/>
  <c r="H16" i="19"/>
  <c r="AZ42" i="19" s="1"/>
  <c r="H14" i="19"/>
  <c r="AF42" i="19" s="1"/>
  <c r="V16" i="7"/>
  <c r="W13" i="7"/>
  <c r="V15" i="7"/>
  <c r="N24" i="19"/>
  <c r="D40" i="19"/>
  <c r="H40" i="19" s="1"/>
  <c r="BP5" i="47"/>
  <c r="BP7" i="47"/>
  <c r="Q10" i="50" s="1"/>
  <c r="CF7" i="49"/>
  <c r="CI7" i="49" s="1"/>
  <c r="AY4" i="43"/>
  <c r="AY6" i="43"/>
  <c r="BB6" i="43" s="1"/>
  <c r="G51" i="33"/>
  <c r="B46" i="33"/>
  <c r="B21" i="33"/>
  <c r="F51" i="33"/>
  <c r="C48" i="33"/>
  <c r="E48" i="33"/>
  <c r="N22" i="51"/>
  <c r="D51" i="33"/>
  <c r="E51" i="33"/>
  <c r="H51" i="33"/>
  <c r="BP4" i="47"/>
  <c r="M9" i="50"/>
  <c r="M10" i="50"/>
  <c r="M12" i="50"/>
  <c r="M8" i="50"/>
  <c r="S25" i="18" l="1"/>
  <c r="S22" i="18"/>
  <c r="D14" i="18"/>
  <c r="G14" i="18" s="1"/>
  <c r="AC20" i="18" s="1"/>
  <c r="D18" i="18"/>
  <c r="G18" i="18" s="1"/>
  <c r="BQ20" i="18" s="1"/>
  <c r="D17" i="18"/>
  <c r="E17" i="18" s="1"/>
  <c r="I39" i="19"/>
  <c r="B23" i="19" s="1"/>
  <c r="D13" i="19" s="1"/>
  <c r="E13" i="19" s="1"/>
  <c r="D16" i="18"/>
  <c r="E16" i="18" s="1"/>
  <c r="D15" i="18"/>
  <c r="E15" i="18" s="1"/>
  <c r="C43" i="18"/>
  <c r="H40" i="18"/>
  <c r="D7" i="18"/>
  <c r="I15" i="7"/>
  <c r="Z14" i="7" s="1"/>
  <c r="H13" i="7"/>
  <c r="Q46" i="1"/>
  <c r="H15" i="1"/>
  <c r="H13" i="1" s="1"/>
  <c r="R45" i="1"/>
  <c r="T16" i="1"/>
  <c r="U13" i="1"/>
  <c r="R44" i="1"/>
  <c r="G13" i="1"/>
  <c r="U13" i="7"/>
  <c r="Q9" i="50"/>
  <c r="T7" i="50"/>
  <c r="Q59" i="1"/>
  <c r="BU27" i="2"/>
  <c r="BW27" i="2" s="1"/>
  <c r="T8" i="50"/>
  <c r="T9" i="50"/>
  <c r="BR8" i="47"/>
  <c r="BR9" i="47"/>
  <c r="V16" i="1"/>
  <c r="W13" i="1"/>
  <c r="V15" i="1"/>
  <c r="S45" i="1"/>
  <c r="S44" i="1"/>
  <c r="S43" i="1"/>
  <c r="X15" i="7"/>
  <c r="Y15" i="7"/>
  <c r="Y13" i="7"/>
  <c r="X16" i="7"/>
  <c r="E13" i="18"/>
  <c r="C43" i="19"/>
  <c r="BS7" i="47"/>
  <c r="Q8" i="50"/>
  <c r="Q7" i="50"/>
  <c r="BR4" i="47"/>
  <c r="U10" i="50"/>
  <c r="U12" i="50"/>
  <c r="E14" i="18" l="1"/>
  <c r="F14" i="18" s="1"/>
  <c r="AC15" i="18" s="1"/>
  <c r="G17" i="18"/>
  <c r="BG20" i="18" s="1"/>
  <c r="BG25" i="18" s="1"/>
  <c r="G13" i="19"/>
  <c r="S20" i="19" s="1"/>
  <c r="S25" i="19" s="1"/>
  <c r="D15" i="19"/>
  <c r="G15" i="19" s="1"/>
  <c r="AM20" i="19" s="1"/>
  <c r="AM25" i="19" s="1"/>
  <c r="D17" i="19"/>
  <c r="G17" i="19" s="1"/>
  <c r="BG20" i="19" s="1"/>
  <c r="BG22" i="19" s="1"/>
  <c r="D14" i="19"/>
  <c r="E14" i="19" s="1"/>
  <c r="F14" i="19" s="1"/>
  <c r="G16" i="18"/>
  <c r="AW20" i="18" s="1"/>
  <c r="AW25" i="18" s="1"/>
  <c r="E18" i="18"/>
  <c r="D18" i="19"/>
  <c r="G18" i="19" s="1"/>
  <c r="BQ20" i="19" s="1"/>
  <c r="BQ22" i="19" s="1"/>
  <c r="D16" i="19"/>
  <c r="G16" i="19" s="1"/>
  <c r="AW20" i="19" s="1"/>
  <c r="AW22" i="19" s="1"/>
  <c r="G15" i="18"/>
  <c r="AM20" i="18" s="1"/>
  <c r="AM25" i="18" s="1"/>
  <c r="F13" i="18"/>
  <c r="S15" i="18" s="1"/>
  <c r="J15" i="7"/>
  <c r="K15" i="7" s="1"/>
  <c r="I13" i="7"/>
  <c r="I15" i="1"/>
  <c r="J15" i="1" s="1"/>
  <c r="X14" i="1"/>
  <c r="Y15" i="1" s="1"/>
  <c r="Q60" i="1"/>
  <c r="R59" i="1" s="1"/>
  <c r="R46" i="1"/>
  <c r="U7" i="50"/>
  <c r="U9" i="50"/>
  <c r="U8" i="50"/>
  <c r="F15" i="18"/>
  <c r="AM15" i="18" s="1"/>
  <c r="AA15" i="7"/>
  <c r="Z15" i="7"/>
  <c r="AA13" i="7"/>
  <c r="Z16" i="7"/>
  <c r="BQ25" i="18"/>
  <c r="BQ22" i="18"/>
  <c r="F17" i="18"/>
  <c r="BG15" i="18" s="1"/>
  <c r="F13" i="19"/>
  <c r="AC25" i="18"/>
  <c r="AC22" i="18"/>
  <c r="O6" i="2"/>
  <c r="T6" i="2" s="1"/>
  <c r="F16" i="18"/>
  <c r="AW15" i="18" s="1"/>
  <c r="S46" i="1"/>
  <c r="DH37" i="7"/>
  <c r="DP15" i="7" s="1"/>
  <c r="BG22" i="18" l="1"/>
  <c r="S22" i="19"/>
  <c r="G14" i="19"/>
  <c r="AC20" i="19" s="1"/>
  <c r="AC25" i="19" s="1"/>
  <c r="BQ25" i="19"/>
  <c r="E17" i="19"/>
  <c r="F17" i="19" s="1"/>
  <c r="BG15" i="19" s="1"/>
  <c r="AM22" i="19"/>
  <c r="BG25" i="19"/>
  <c r="AW22" i="18"/>
  <c r="E15" i="19"/>
  <c r="F15" i="19" s="1"/>
  <c r="AM15" i="19" s="1"/>
  <c r="E18" i="19"/>
  <c r="F18" i="19" s="1"/>
  <c r="BQ15" i="19" s="1"/>
  <c r="F18" i="18"/>
  <c r="BQ15" i="18" s="1"/>
  <c r="AW25" i="19"/>
  <c r="AM22" i="18"/>
  <c r="E16" i="19"/>
  <c r="J13" i="7"/>
  <c r="AB14" i="7"/>
  <c r="AC15" i="7" s="1"/>
  <c r="I13" i="1"/>
  <c r="Z14" i="1"/>
  <c r="Z15" i="1" s="1"/>
  <c r="T44" i="1"/>
  <c r="Y13" i="1"/>
  <c r="R60" i="1"/>
  <c r="S59" i="1" s="1"/>
  <c r="S60" i="1" s="1"/>
  <c r="T59" i="1" s="1"/>
  <c r="T45" i="1"/>
  <c r="X16" i="1"/>
  <c r="O5" i="2" s="1"/>
  <c r="T5" i="2" s="1"/>
  <c r="X15" i="1"/>
  <c r="T43" i="1"/>
  <c r="S15" i="19"/>
  <c r="K15" i="1"/>
  <c r="J13" i="1"/>
  <c r="AB14" i="1"/>
  <c r="AC15" i="19"/>
  <c r="K13" i="7"/>
  <c r="AD14" i="7"/>
  <c r="EX43" i="7"/>
  <c r="EY43" i="7" s="1"/>
  <c r="EX33" i="7"/>
  <c r="EY33" i="7" s="1"/>
  <c r="EX32" i="7"/>
  <c r="EY32" i="7" s="1"/>
  <c r="EX40" i="7"/>
  <c r="EY40" i="7" s="1"/>
  <c r="EX36" i="7"/>
  <c r="EY36" i="7" s="1"/>
  <c r="DH35" i="7"/>
  <c r="DT15" i="7"/>
  <c r="DQ30" i="7" s="1"/>
  <c r="DR15" i="7"/>
  <c r="EX35" i="7"/>
  <c r="EY35" i="7" s="1"/>
  <c r="EX41" i="7"/>
  <c r="EY41" i="7" s="1"/>
  <c r="EX37" i="7"/>
  <c r="EY37" i="7" s="1"/>
  <c r="EX34" i="7"/>
  <c r="EY34" i="7" s="1"/>
  <c r="AC22" i="19" l="1"/>
  <c r="F16" i="19"/>
  <c r="AW15" i="19" s="1"/>
  <c r="AB16" i="7"/>
  <c r="AB15" i="7"/>
  <c r="P44" i="7"/>
  <c r="AC13" i="7"/>
  <c r="AA15" i="1"/>
  <c r="Z16" i="1"/>
  <c r="AA13" i="1"/>
  <c r="T46" i="1"/>
  <c r="T60" i="1" s="1"/>
  <c r="BP29" i="2"/>
  <c r="BP30" i="2" s="1"/>
  <c r="O8" i="2"/>
  <c r="T8" i="2" s="1"/>
  <c r="K13" i="1"/>
  <c r="M6" i="2" s="1"/>
  <c r="AD14" i="1"/>
  <c r="CD22" i="7"/>
  <c r="CD23" i="7" s="1"/>
  <c r="AZ14" i="7"/>
  <c r="BE14" i="7" s="1"/>
  <c r="DQ33" i="7" s="1"/>
  <c r="AW14" i="7"/>
  <c r="AW15" i="7"/>
  <c r="AX14" i="7"/>
  <c r="AY14" i="7"/>
  <c r="AZ15" i="7"/>
  <c r="BE15" i="7" s="1"/>
  <c r="DQ34" i="7" s="1"/>
  <c r="AY15" i="7"/>
  <c r="AX15" i="7"/>
  <c r="AD16" i="7"/>
  <c r="AD15" i="7"/>
  <c r="AE13" i="7"/>
  <c r="AE15" i="7"/>
  <c r="Q44" i="7"/>
  <c r="O43" i="7"/>
  <c r="O45" i="7"/>
  <c r="S44" i="7"/>
  <c r="N44" i="7"/>
  <c r="S45" i="7"/>
  <c r="R43" i="7"/>
  <c r="Q45" i="7"/>
  <c r="R41" i="7"/>
  <c r="T44" i="7"/>
  <c r="T41" i="7"/>
  <c r="S41" i="7"/>
  <c r="T45" i="7"/>
  <c r="N45" i="7"/>
  <c r="P43" i="7"/>
  <c r="R44" i="7"/>
  <c r="R45" i="7"/>
  <c r="S43" i="7"/>
  <c r="T43" i="7"/>
  <c r="O44" i="7"/>
  <c r="Q43" i="7"/>
  <c r="P45" i="7"/>
  <c r="N43" i="7"/>
  <c r="AB16" i="1"/>
  <c r="AC15" i="1"/>
  <c r="AC13" i="1"/>
  <c r="AB15" i="1"/>
  <c r="C31" i="25"/>
  <c r="C131" i="34" s="1"/>
  <c r="J131" i="34" s="1"/>
  <c r="J132" i="34" s="1"/>
  <c r="J35" i="25"/>
  <c r="D12" i="50" s="1"/>
  <c r="J36" i="25"/>
  <c r="D11" i="45" s="1"/>
  <c r="I37" i="25"/>
  <c r="J37" i="25"/>
  <c r="I38" i="25"/>
  <c r="C13" i="46" s="1"/>
  <c r="J38" i="25"/>
  <c r="D137" i="32" s="1"/>
  <c r="B3" i="9"/>
  <c r="C3" i="9" s="1"/>
  <c r="AW13" i="7" l="1"/>
  <c r="P46" i="7"/>
  <c r="Q46" i="7"/>
  <c r="N46" i="7"/>
  <c r="N60" i="7" s="1"/>
  <c r="T46" i="7"/>
  <c r="EE22" i="7" a="1"/>
  <c r="EE22" i="7" s="1"/>
  <c r="EE8" i="7"/>
  <c r="AZ16" i="7"/>
  <c r="BE16" i="7" s="1"/>
  <c r="DQ35" i="7" s="1"/>
  <c r="EE19" i="7" a="1"/>
  <c r="EE19" i="7" s="1"/>
  <c r="AZ13" i="7"/>
  <c r="BE13" i="7" s="1"/>
  <c r="DQ32" i="7" s="1"/>
  <c r="EE17" i="7" a="1"/>
  <c r="EE17" i="7" s="1"/>
  <c r="EE14" i="7"/>
  <c r="EE16" i="7" a="1"/>
  <c r="EE16" i="7" s="1"/>
  <c r="EE11" i="7"/>
  <c r="EE5" i="7"/>
  <c r="S46" i="7"/>
  <c r="O46" i="7"/>
  <c r="O60" i="7" s="1"/>
  <c r="AY13" i="7"/>
  <c r="AX13" i="7"/>
  <c r="AZ17" i="7"/>
  <c r="EE21" i="7" a="1"/>
  <c r="EE21" i="7" s="1"/>
  <c r="DA37" i="7"/>
  <c r="EX10" i="7"/>
  <c r="EY10" i="7" s="1"/>
  <c r="DQ13" i="7"/>
  <c r="EX14" i="7"/>
  <c r="EY14" i="7" s="1"/>
  <c r="EX13" i="7"/>
  <c r="EY13" i="7" s="1"/>
  <c r="BB15" i="7"/>
  <c r="BD15" i="7" s="1"/>
  <c r="BB14" i="7"/>
  <c r="BD14" i="7" s="1"/>
  <c r="EE12" i="7"/>
  <c r="EE20" i="7" a="1"/>
  <c r="EE20" i="7" s="1"/>
  <c r="AE13" i="1"/>
  <c r="AE15" i="1"/>
  <c r="AD15" i="1"/>
  <c r="AD16" i="1"/>
  <c r="N44" i="1"/>
  <c r="S41" i="1"/>
  <c r="N43" i="1"/>
  <c r="R41" i="1"/>
  <c r="T41" i="1"/>
  <c r="N45" i="1"/>
  <c r="R46" i="7"/>
  <c r="EE13" i="7"/>
  <c r="AZ18" i="7" a="1"/>
  <c r="AZ18" i="7" s="1"/>
  <c r="M7" i="2"/>
  <c r="N7" i="2"/>
  <c r="L7" i="2"/>
  <c r="O7" i="2"/>
  <c r="T7" i="2" s="1"/>
  <c r="N6" i="2"/>
  <c r="L6" i="2"/>
  <c r="AS14" i="2"/>
  <c r="AS15" i="2" s="1"/>
  <c r="C15" i="50"/>
  <c r="C14" i="50"/>
  <c r="J14" i="50" s="1"/>
  <c r="J15" i="50" s="1"/>
  <c r="D12" i="48"/>
  <c r="C12" i="48"/>
  <c r="J12" i="48" s="1"/>
  <c r="J13" i="48" s="1"/>
  <c r="D14" i="50"/>
  <c r="D3" i="9"/>
  <c r="C132" i="34"/>
  <c r="C136" i="32"/>
  <c r="J136" i="32" s="1"/>
  <c r="J137" i="32" s="1"/>
  <c r="F85" i="28"/>
  <c r="D13" i="45"/>
  <c r="D132" i="30"/>
  <c r="D13" i="50"/>
  <c r="D134" i="30"/>
  <c r="D118" i="28"/>
  <c r="D13" i="41" s="1"/>
  <c r="D15" i="50"/>
  <c r="D13" i="46"/>
  <c r="C134" i="30"/>
  <c r="C13" i="48"/>
  <c r="C13" i="45"/>
  <c r="C137" i="32"/>
  <c r="C118" i="28"/>
  <c r="D134" i="32"/>
  <c r="D129" i="34"/>
  <c r="D10" i="45"/>
  <c r="D10" i="46"/>
  <c r="D115" i="28"/>
  <c r="D10" i="41" s="1"/>
  <c r="D10" i="48"/>
  <c r="D131" i="30"/>
  <c r="C133" i="30"/>
  <c r="J133" i="30" s="1"/>
  <c r="J134" i="30" s="1"/>
  <c r="C117" i="28"/>
  <c r="C12" i="45"/>
  <c r="J12" i="45" s="1"/>
  <c r="J13" i="45" s="1"/>
  <c r="F85" i="32"/>
  <c r="C12" i="46"/>
  <c r="J12" i="46" s="1"/>
  <c r="J13" i="46" s="1"/>
  <c r="F80" i="34"/>
  <c r="D117" i="28"/>
  <c r="D12" i="41" s="1"/>
  <c r="D12" i="45"/>
  <c r="D12" i="46"/>
  <c r="D133" i="30"/>
  <c r="D136" i="32"/>
  <c r="D131" i="34"/>
  <c r="F81" i="30"/>
  <c r="D116" i="28"/>
  <c r="D11" i="41" s="1"/>
  <c r="D11" i="48"/>
  <c r="D135" i="32"/>
  <c r="D130" i="34"/>
  <c r="D11" i="46"/>
  <c r="D13" i="48"/>
  <c r="D132" i="34"/>
  <c r="DR18" i="7" l="1"/>
  <c r="DP18" i="7"/>
  <c r="DT18" i="7"/>
  <c r="Q7" i="2"/>
  <c r="S7" i="2" s="1"/>
  <c r="BB13" i="7"/>
  <c r="BD13" i="7" s="1"/>
  <c r="DQ18" i="7" s="1"/>
  <c r="N46" i="1"/>
  <c r="N60" i="1" s="1"/>
  <c r="D9" i="5"/>
  <c r="E9" i="5" s="1"/>
  <c r="D5" i="5"/>
  <c r="E5" i="5" s="1"/>
  <c r="D8" i="5"/>
  <c r="E8" i="5" s="1"/>
  <c r="CY13" i="7"/>
  <c r="CY15" i="7" s="1"/>
  <c r="CU13" i="7"/>
  <c r="CU15" i="7" s="1"/>
  <c r="BC20" i="7"/>
  <c r="CV13" i="7"/>
  <c r="CV15" i="7" s="1"/>
  <c r="CR17" i="7"/>
  <c r="CX13" i="7"/>
  <c r="CX15" i="7" s="1"/>
  <c r="BB20" i="7"/>
  <c r="CT13" i="7"/>
  <c r="CT15" i="7" s="1"/>
  <c r="CS13" i="7"/>
  <c r="CS15" i="7" s="1"/>
  <c r="BD20" i="7"/>
  <c r="CW13" i="7"/>
  <c r="CW15" i="7" s="1"/>
  <c r="Q6" i="2"/>
  <c r="S6" i="2" s="1"/>
  <c r="M5" i="2"/>
  <c r="O10" i="2" a="1"/>
  <c r="O10" i="2" s="1"/>
  <c r="L5" i="2"/>
  <c r="N5" i="2"/>
  <c r="DA38" i="7"/>
  <c r="EE9" i="7"/>
  <c r="EV26" i="7"/>
  <c r="EV30" i="7"/>
  <c r="EV27" i="7"/>
  <c r="EV25" i="7"/>
  <c r="CD15" i="7"/>
  <c r="CR14" i="7"/>
  <c r="CR16" i="7"/>
  <c r="CB15" i="7"/>
  <c r="BA24" i="7"/>
  <c r="CH15" i="7"/>
  <c r="AW20" i="7"/>
  <c r="CJ15" i="7"/>
  <c r="EV28" i="7"/>
  <c r="CR18" i="7"/>
  <c r="BA22" i="7"/>
  <c r="BA23" i="7"/>
  <c r="CI15" i="7"/>
  <c r="CG15" i="7"/>
  <c r="CC15" i="7"/>
  <c r="BA21" i="7"/>
  <c r="CE15" i="7"/>
  <c r="CF15" i="7"/>
  <c r="BA25" i="7"/>
  <c r="CK15" i="7"/>
  <c r="EV24" i="7"/>
  <c r="EV29" i="7"/>
  <c r="O9" i="2"/>
  <c r="DG25" i="7"/>
  <c r="DH25" i="7" s="1"/>
  <c r="P59" i="7"/>
  <c r="P60" i="7" s="1"/>
  <c r="DF30" i="7"/>
  <c r="DH30" i="7" s="1"/>
  <c r="AZ11" i="43"/>
  <c r="AK11" i="42"/>
  <c r="J117" i="28"/>
  <c r="C12" i="41"/>
  <c r="AK12" i="42"/>
  <c r="C13" i="41"/>
  <c r="AZ12" i="43"/>
  <c r="DS18" i="7" l="1"/>
  <c r="DT17" i="7"/>
  <c r="DR17" i="7"/>
  <c r="DP17" i="7"/>
  <c r="DQ31" i="7"/>
  <c r="CM15" i="7"/>
  <c r="BN5" i="2"/>
  <c r="BN7" i="2" s="1"/>
  <c r="BM5" i="2"/>
  <c r="BM7" i="2" s="1"/>
  <c r="BI5" i="2"/>
  <c r="BG9" i="2"/>
  <c r="BJ5" i="2"/>
  <c r="BJ7" i="2" s="1"/>
  <c r="BL5" i="2"/>
  <c r="BL7" i="2" s="1"/>
  <c r="BK5" i="2"/>
  <c r="BK7" i="2" s="1"/>
  <c r="BH5" i="2"/>
  <c r="BH7" i="2" s="1"/>
  <c r="CY16" i="7"/>
  <c r="CW16" i="7"/>
  <c r="CX16" i="7"/>
  <c r="CU16" i="7"/>
  <c r="CT16" i="7"/>
  <c r="CV16" i="7"/>
  <c r="CS16" i="7"/>
  <c r="BC22" i="7"/>
  <c r="BC21" i="7"/>
  <c r="BC24" i="7"/>
  <c r="BC25" i="7"/>
  <c r="BC23" i="7"/>
  <c r="CS18" i="7"/>
  <c r="CU18" i="7"/>
  <c r="CX18" i="7"/>
  <c r="CY18" i="7"/>
  <c r="CT18" i="7"/>
  <c r="CV18" i="7"/>
  <c r="CW18" i="7"/>
  <c r="CX14" i="7"/>
  <c r="CY14" i="7"/>
  <c r="CV14" i="7"/>
  <c r="CU14" i="7"/>
  <c r="CT14" i="7"/>
  <c r="CS14" i="7"/>
  <c r="CW14" i="7"/>
  <c r="BB22" i="7"/>
  <c r="BB24" i="7"/>
  <c r="BB23" i="7"/>
  <c r="BB21" i="7"/>
  <c r="BB25" i="7"/>
  <c r="BG8" i="2"/>
  <c r="B20" i="5"/>
  <c r="BG10" i="2"/>
  <c r="AY7" i="2"/>
  <c r="AW7" i="2"/>
  <c r="AZ7" i="2"/>
  <c r="B21" i="5"/>
  <c r="AQ7" i="2"/>
  <c r="B19" i="5"/>
  <c r="B22" i="5"/>
  <c r="AV7" i="2"/>
  <c r="B23" i="5"/>
  <c r="AS7" i="2"/>
  <c r="B24" i="5"/>
  <c r="AX7" i="2"/>
  <c r="AU7" i="2"/>
  <c r="AT7" i="2"/>
  <c r="AR7" i="2"/>
  <c r="BG6" i="2"/>
  <c r="B25" i="5"/>
  <c r="EX38" i="7"/>
  <c r="EY38" i="7" s="1"/>
  <c r="EX39" i="7"/>
  <c r="EY39" i="7" s="1"/>
  <c r="CV17" i="7"/>
  <c r="CX17" i="7"/>
  <c r="CT17" i="7"/>
  <c r="CY17" i="7"/>
  <c r="CW17" i="7"/>
  <c r="CS17" i="7"/>
  <c r="CU17" i="7"/>
  <c r="Q5" i="2"/>
  <c r="S5" i="2" s="1"/>
  <c r="DG26" i="7"/>
  <c r="DH26" i="7" s="1"/>
  <c r="DF34" i="7"/>
  <c r="DH34" i="7" s="1"/>
  <c r="Q59" i="7"/>
  <c r="Q60" i="7" s="1"/>
  <c r="R59" i="7" s="1"/>
  <c r="R60" i="7" s="1"/>
  <c r="S59" i="7" s="1"/>
  <c r="S60" i="7" s="1"/>
  <c r="T59" i="7" s="1"/>
  <c r="T60" i="7" s="1"/>
  <c r="BD23" i="7"/>
  <c r="BD25" i="7"/>
  <c r="BD21" i="7"/>
  <c r="BD24" i="7"/>
  <c r="BD22" i="7"/>
  <c r="J12" i="41"/>
  <c r="J13" i="41" s="1"/>
  <c r="J118" i="28"/>
  <c r="E55" i="8"/>
  <c r="E62" i="8"/>
  <c r="F82" i="36"/>
  <c r="D131" i="36"/>
  <c r="D132" i="36"/>
  <c r="C133" i="36"/>
  <c r="J133" i="36" s="1"/>
  <c r="J134" i="36" s="1"/>
  <c r="D133" i="36"/>
  <c r="C134" i="36"/>
  <c r="D134" i="36"/>
  <c r="F83" i="38"/>
  <c r="D132" i="38"/>
  <c r="D133" i="38"/>
  <c r="C134" i="38"/>
  <c r="J134" i="38" s="1"/>
  <c r="J135" i="38" s="1"/>
  <c r="D134" i="38"/>
  <c r="C135" i="38"/>
  <c r="D135" i="38"/>
  <c r="AC46" i="7"/>
  <c r="BB7" i="2" l="1"/>
  <c r="EX42" i="7"/>
  <c r="EY42" i="7" s="1"/>
  <c r="BI9" i="2"/>
  <c r="BL9" i="2"/>
  <c r="BK9" i="2"/>
  <c r="BM9" i="2"/>
  <c r="BN9" i="2"/>
  <c r="BJ9" i="2"/>
  <c r="BH9" i="2"/>
  <c r="BN10" i="2"/>
  <c r="BL10" i="2"/>
  <c r="BK10" i="2"/>
  <c r="BM10" i="2"/>
  <c r="BI10" i="2"/>
  <c r="BH10" i="2"/>
  <c r="BJ10" i="2"/>
  <c r="BI6" i="2"/>
  <c r="BI7" i="2"/>
  <c r="DK15" i="7"/>
  <c r="BN6" i="2"/>
  <c r="BL6" i="2"/>
  <c r="BM6" i="2"/>
  <c r="BK6" i="2"/>
  <c r="BH6" i="2"/>
  <c r="BJ6" i="2"/>
  <c r="BN8" i="2"/>
  <c r="BL8" i="2"/>
  <c r="BM8" i="2"/>
  <c r="BK8" i="2"/>
  <c r="BI8" i="2"/>
  <c r="BH8" i="2"/>
  <c r="BJ8" i="2"/>
  <c r="DP12" i="7"/>
  <c r="DR12" i="7"/>
  <c r="H35" i="13"/>
  <c r="H36" i="13" s="1"/>
  <c r="EX26" i="7" l="1"/>
  <c r="EY26" i="7" s="1"/>
  <c r="EX27" i="7"/>
  <c r="EY27" i="7" s="1"/>
  <c r="EX28" i="7"/>
  <c r="EY28" i="7" s="1"/>
  <c r="EX24" i="7"/>
  <c r="EY24" i="7" s="1"/>
  <c r="DS12" i="7"/>
  <c r="DQ24" i="7" s="1"/>
  <c r="EX30" i="7"/>
  <c r="EY30" i="7" s="1"/>
  <c r="EX25" i="7"/>
  <c r="EY25" i="7" s="1"/>
  <c r="EX29" i="7"/>
  <c r="EY29" i="7" s="1"/>
  <c r="BZ7" i="2"/>
  <c r="D20" i="5" l="1"/>
  <c r="E20" i="5" s="1"/>
  <c r="D25" i="5"/>
  <c r="E25" i="5" s="1"/>
  <c r="D19" i="5"/>
  <c r="E19" i="5" s="1"/>
  <c r="D21" i="5"/>
  <c r="E21" i="5" s="1"/>
  <c r="D22" i="5"/>
  <c r="E22" i="5" s="1"/>
  <c r="D23" i="5"/>
  <c r="E23" i="5" s="1"/>
  <c r="D24" i="5"/>
  <c r="E24" i="5" s="1"/>
  <c r="F18" i="24" l="1"/>
  <c r="E60" i="8"/>
  <c r="J31" i="25" l="1"/>
  <c r="C41" i="25" s="1"/>
  <c r="J10" i="21"/>
  <c r="D6" i="46" l="1"/>
  <c r="D125" i="34"/>
  <c r="D6" i="48"/>
  <c r="D127" i="30"/>
  <c r="D6" i="45"/>
  <c r="D8" i="50"/>
  <c r="D111" i="28"/>
  <c r="D6" i="41" s="1"/>
  <c r="D130" i="32"/>
  <c r="D128" i="38"/>
  <c r="D127" i="36"/>
  <c r="C18" i="13" l="1"/>
  <c r="F16" i="13" s="1"/>
  <c r="F34" i="13" l="1"/>
  <c r="F21" i="13"/>
  <c r="F15" i="13"/>
  <c r="F14" i="13"/>
  <c r="F13" i="13"/>
  <c r="F12" i="13"/>
  <c r="F17" i="13"/>
  <c r="AF38" i="18" l="1"/>
  <c r="AP38" i="18"/>
  <c r="AZ38" i="18"/>
  <c r="BJ38" i="18"/>
  <c r="AF38" i="19"/>
  <c r="AP38" i="19"/>
  <c r="AZ38" i="19"/>
  <c r="BJ38" i="19"/>
  <c r="K17" i="28" l="1"/>
  <c r="F20" i="28" s="1"/>
  <c r="K17" i="30"/>
  <c r="K17" i="32"/>
  <c r="B67" i="32" s="1"/>
  <c r="K17" i="34"/>
  <c r="F20" i="34" s="1"/>
  <c r="B69" i="28" l="1"/>
  <c r="F20" i="32"/>
  <c r="F20" i="30"/>
  <c r="B66" i="30"/>
  <c r="B66" i="34"/>
  <c r="K17" i="36"/>
  <c r="B66" i="36" s="1"/>
  <c r="K17" i="38"/>
  <c r="B68" i="38" s="1"/>
  <c r="C23" i="13"/>
  <c r="BB5" i="43" s="1"/>
  <c r="BB14" i="43" s="1"/>
  <c r="C24" i="13"/>
  <c r="D31" i="13" s="1"/>
  <c r="D34" i="13" l="1"/>
  <c r="E34" i="13" s="1"/>
  <c r="I8" i="50"/>
  <c r="D85" i="13"/>
  <c r="G85" i="13" s="1"/>
  <c r="E101" i="13" s="1"/>
  <c r="D84" i="13"/>
  <c r="G84" i="13" s="1"/>
  <c r="E100" i="13" s="1"/>
  <c r="D83" i="13"/>
  <c r="G83" i="13" s="1"/>
  <c r="E99" i="13" s="1"/>
  <c r="E31" i="13"/>
  <c r="F31" i="13" s="1"/>
  <c r="I6" i="46"/>
  <c r="AM5" i="42"/>
  <c r="AM14" i="42" s="1"/>
  <c r="E30" i="13"/>
  <c r="I130" i="32"/>
  <c r="L6" i="45"/>
  <c r="I111" i="28"/>
  <c r="I6" i="45"/>
  <c r="I127" i="30"/>
  <c r="L6" i="41"/>
  <c r="I6" i="41"/>
  <c r="D33" i="13"/>
  <c r="BS5" i="47"/>
  <c r="BS14" i="47" s="1"/>
  <c r="L6" i="48"/>
  <c r="I6" i="48"/>
  <c r="I125" i="34"/>
  <c r="L6" i="46"/>
  <c r="C85" i="13" l="1"/>
  <c r="D89" i="13"/>
  <c r="C84" i="13"/>
  <c r="F84" i="13" s="1"/>
  <c r="D100" i="13" s="1"/>
  <c r="C83" i="13"/>
  <c r="E83" i="13" s="1"/>
  <c r="C32" i="13"/>
  <c r="H31" i="13" s="1"/>
  <c r="I31" i="13" s="1"/>
  <c r="I13" i="50"/>
  <c r="I15" i="50" s="1"/>
  <c r="I11" i="50"/>
  <c r="E43" i="13"/>
  <c r="E44" i="13"/>
  <c r="E45" i="13"/>
  <c r="F37" i="13"/>
  <c r="F44" i="13"/>
  <c r="C30" i="13"/>
  <c r="H30" i="13" s="1"/>
  <c r="I30" i="13" s="1"/>
  <c r="I32" i="13" s="1"/>
  <c r="F30" i="13"/>
  <c r="F32" i="13" s="1"/>
  <c r="E42" i="13"/>
  <c r="L9" i="41"/>
  <c r="L11" i="41"/>
  <c r="L9" i="46"/>
  <c r="L11" i="46"/>
  <c r="I130" i="30"/>
  <c r="I132" i="30"/>
  <c r="I134" i="30" s="1"/>
  <c r="N6" i="46"/>
  <c r="I9" i="46"/>
  <c r="I11" i="46"/>
  <c r="I13" i="46" s="1"/>
  <c r="N6" i="48"/>
  <c r="I9" i="48"/>
  <c r="I11" i="48"/>
  <c r="I13" i="48" s="1"/>
  <c r="I114" i="28"/>
  <c r="F127" i="28" s="1"/>
  <c r="C20" i="29" s="1"/>
  <c r="N18" i="51" s="1"/>
  <c r="I116" i="28"/>
  <c r="I118" i="28" s="1"/>
  <c r="E84" i="13"/>
  <c r="I130" i="34"/>
  <c r="I132" i="34" s="1"/>
  <c r="I128" i="34"/>
  <c r="L9" i="45"/>
  <c r="L11" i="45"/>
  <c r="E85" i="13"/>
  <c r="F85" i="13"/>
  <c r="D101" i="13" s="1"/>
  <c r="I9" i="41"/>
  <c r="I11" i="41"/>
  <c r="I13" i="41" s="1"/>
  <c r="N6" i="41"/>
  <c r="I9" i="45"/>
  <c r="I11" i="45"/>
  <c r="I13" i="45" s="1"/>
  <c r="N6" i="45"/>
  <c r="L9" i="48"/>
  <c r="L11" i="48"/>
  <c r="I133" i="32"/>
  <c r="I135" i="32"/>
  <c r="I137" i="32" s="1"/>
  <c r="B21" i="29" a="1"/>
  <c r="F83" i="13" l="1"/>
  <c r="D99" i="13" s="1"/>
  <c r="F147" i="32"/>
  <c r="BB22" i="43"/>
  <c r="N9" i="46"/>
  <c r="BS15" i="47" s="1"/>
  <c r="BS17" i="47" s="1"/>
  <c r="N11" i="46"/>
  <c r="J33" i="13"/>
  <c r="B78" i="13"/>
  <c r="AM20" i="42"/>
  <c r="F144" i="30"/>
  <c r="N9" i="45"/>
  <c r="BB15" i="43" s="1"/>
  <c r="BB17" i="43" s="1"/>
  <c r="N11" i="45"/>
  <c r="BS22" i="47"/>
  <c r="F142" i="34"/>
  <c r="N9" i="48"/>
  <c r="CO6" i="49" s="1"/>
  <c r="N11" i="48"/>
  <c r="N9" i="41"/>
  <c r="AM15" i="42" s="1"/>
  <c r="AM17" i="42" s="1"/>
  <c r="N11" i="41"/>
  <c r="B21" i="29"/>
  <c r="B46" i="29"/>
  <c r="C47" i="29"/>
  <c r="C48" i="29"/>
  <c r="E48" i="29"/>
  <c r="D51" i="29"/>
  <c r="E51" i="29"/>
  <c r="F51" i="29"/>
  <c r="G51" i="29"/>
  <c r="H51" i="29"/>
  <c r="D23" i="52"/>
  <c r="D28" i="52" s="1"/>
  <c r="D27" i="52"/>
  <c r="I127" i="36"/>
  <c r="I130" i="36" s="1"/>
  <c r="I128" i="38"/>
  <c r="I131" i="38" s="1"/>
  <c r="F144" i="38" s="1"/>
  <c r="C20" i="39" s="1"/>
  <c r="CI5" i="49"/>
  <c r="CI14" i="49" s="1"/>
  <c r="DF3" i="49" s="1"/>
  <c r="B21" i="39" a="1"/>
  <c r="CO3" i="49" l="1"/>
  <c r="AM22" i="42"/>
  <c r="CO5" i="49"/>
  <c r="CO4" i="49"/>
  <c r="I132" i="36"/>
  <c r="I134" i="36" s="1"/>
  <c r="F144" i="36"/>
  <c r="CI22" i="49"/>
  <c r="B21" i="39"/>
  <c r="N28" i="51"/>
  <c r="F51" i="39"/>
  <c r="G51" i="39"/>
  <c r="B46" i="39"/>
  <c r="H51" i="39"/>
  <c r="C47" i="39"/>
  <c r="D51" i="39"/>
  <c r="C48" i="39"/>
  <c r="E48" i="39"/>
  <c r="E51" i="39"/>
  <c r="I133" i="38"/>
  <c r="I135" i="38" s="1"/>
  <c r="CR3" i="49" l="1" a="1"/>
  <c r="CR3" i="49" s="1"/>
  <c r="CI15" i="49" s="1"/>
  <c r="CI17" i="49" s="1"/>
  <c r="DC3" i="49"/>
  <c r="B17" i="29" l="1" a="1"/>
  <c r="B17" i="29" s="1"/>
  <c r="B19" i="29" a="1"/>
  <c r="B19" i="29" s="1"/>
  <c r="B17" i="31" a="1"/>
  <c r="B17" i="31" s="1"/>
  <c r="B19" i="31" a="1"/>
  <c r="B19" i="31" s="1"/>
  <c r="B17" i="33" a="1"/>
  <c r="B17" i="33" s="1"/>
  <c r="B19" i="33" a="1"/>
  <c r="B19" i="33" s="1"/>
  <c r="B17" i="35" a="1"/>
  <c r="B17" i="35" s="1"/>
  <c r="B19" i="35" a="1"/>
  <c r="B19" i="35"/>
  <c r="B17" i="37" a="1"/>
  <c r="B17" i="37" s="1"/>
  <c r="B19" i="37" a="1"/>
  <c r="B19" i="37" s="1"/>
  <c r="B21" i="37" a="1"/>
  <c r="B21" i="37"/>
  <c r="B17" i="39" a="1"/>
  <c r="B17" i="39" s="1"/>
  <c r="B19" i="39" a="1"/>
  <c r="B19" i="39" s="1"/>
  <c r="F13" i="53"/>
  <c r="F17" i="53"/>
  <c r="F18" i="53"/>
  <c r="E54" i="53"/>
  <c r="E56" i="53"/>
  <c r="E60" i="53"/>
  <c r="F62" i="53"/>
  <c r="E65" i="53"/>
  <c r="F66" i="53"/>
  <c r="F67" i="53"/>
  <c r="D69" i="53"/>
  <c r="D110" i="28"/>
  <c r="H110" i="28"/>
  <c r="H111" i="28"/>
  <c r="H112" i="28"/>
  <c r="D113" i="28"/>
  <c r="H113" i="28"/>
  <c r="D114" i="28"/>
  <c r="H114" i="28"/>
  <c r="H115" i="28"/>
  <c r="H116" i="28"/>
  <c r="H117" i="28"/>
  <c r="H118" i="28"/>
  <c r="F125" i="28"/>
  <c r="F126" i="28"/>
  <c r="F128" i="28"/>
  <c r="D5" i="41"/>
  <c r="H5" i="41"/>
  <c r="M5" i="41"/>
  <c r="O5" i="41"/>
  <c r="H6" i="41"/>
  <c r="M6" i="41"/>
  <c r="O6" i="41"/>
  <c r="H7" i="41"/>
  <c r="M7" i="41"/>
  <c r="O7" i="41"/>
  <c r="D8" i="41"/>
  <c r="H8" i="41"/>
  <c r="M8" i="41"/>
  <c r="O8" i="41"/>
  <c r="D9" i="41"/>
  <c r="H9" i="41"/>
  <c r="M9" i="41"/>
  <c r="O9" i="41"/>
  <c r="H10" i="41"/>
  <c r="M10" i="41"/>
  <c r="H11" i="41"/>
  <c r="M11" i="41"/>
  <c r="O11" i="41"/>
  <c r="H12" i="41"/>
  <c r="H13" i="41"/>
  <c r="D126" i="30"/>
  <c r="H126" i="30"/>
  <c r="H127" i="30"/>
  <c r="H128" i="30"/>
  <c r="D129" i="30"/>
  <c r="H129" i="30"/>
  <c r="D130" i="30"/>
  <c r="H130" i="30"/>
  <c r="H132" i="30"/>
  <c r="H133" i="30"/>
  <c r="H134" i="30"/>
  <c r="F141" i="30"/>
  <c r="F142" i="30"/>
  <c r="F143" i="30"/>
  <c r="F146" i="30"/>
  <c r="AL4" i="42"/>
  <c r="AL5" i="42"/>
  <c r="AL6" i="42"/>
  <c r="AL7" i="42"/>
  <c r="AL8" i="42"/>
  <c r="AL14" i="42"/>
  <c r="AL15" i="42"/>
  <c r="AL17" i="42"/>
  <c r="AL20" i="42"/>
  <c r="AL22" i="42"/>
  <c r="AL24" i="42"/>
  <c r="AM24" i="42"/>
  <c r="D5" i="45"/>
  <c r="H5" i="45"/>
  <c r="M5" i="45"/>
  <c r="O5" i="45"/>
  <c r="H6" i="45"/>
  <c r="M6" i="45"/>
  <c r="O6" i="45"/>
  <c r="H7" i="45"/>
  <c r="M7" i="45"/>
  <c r="O7" i="45"/>
  <c r="D8" i="45"/>
  <c r="H8" i="45"/>
  <c r="M8" i="45"/>
  <c r="O8" i="45"/>
  <c r="D9" i="45"/>
  <c r="H9" i="45"/>
  <c r="M9" i="45"/>
  <c r="O9" i="45"/>
  <c r="H10" i="45"/>
  <c r="M10" i="45"/>
  <c r="H11" i="45"/>
  <c r="M11" i="45"/>
  <c r="O11" i="45"/>
  <c r="H12" i="45"/>
  <c r="H13" i="45"/>
  <c r="D129" i="32"/>
  <c r="H129" i="32"/>
  <c r="H130" i="32"/>
  <c r="H131" i="32"/>
  <c r="D132" i="32"/>
  <c r="H132" i="32"/>
  <c r="D133" i="32"/>
  <c r="H133" i="32"/>
  <c r="H135" i="32"/>
  <c r="H136" i="32"/>
  <c r="H137" i="32"/>
  <c r="F144" i="32"/>
  <c r="F145" i="32"/>
  <c r="F146" i="32"/>
  <c r="F149" i="32"/>
  <c r="BA4" i="43"/>
  <c r="BA5" i="43"/>
  <c r="BA6" i="43"/>
  <c r="BA7" i="43"/>
  <c r="BA8" i="43"/>
  <c r="BA14" i="43"/>
  <c r="BA15" i="43"/>
  <c r="BA17" i="43"/>
  <c r="BA19" i="43"/>
  <c r="BB19" i="43"/>
  <c r="BA22" i="43"/>
  <c r="BA24" i="43"/>
  <c r="BB24" i="43"/>
  <c r="BA26" i="43"/>
  <c r="BB26" i="43"/>
  <c r="D5" i="46"/>
  <c r="H5" i="46"/>
  <c r="M5" i="46"/>
  <c r="O5" i="46"/>
  <c r="H6" i="46"/>
  <c r="M6" i="46"/>
  <c r="O6" i="46"/>
  <c r="H7" i="46"/>
  <c r="M7" i="46"/>
  <c r="O7" i="46"/>
  <c r="D8" i="46"/>
  <c r="H8" i="46"/>
  <c r="M8" i="46"/>
  <c r="O8" i="46"/>
  <c r="D9" i="46"/>
  <c r="H9" i="46"/>
  <c r="M9" i="46"/>
  <c r="O9" i="46"/>
  <c r="H10" i="46"/>
  <c r="M10" i="46"/>
  <c r="H11" i="46"/>
  <c r="M11" i="46"/>
  <c r="O11" i="46"/>
  <c r="H12" i="46"/>
  <c r="H13" i="46"/>
  <c r="D124" i="34"/>
  <c r="H124" i="34"/>
  <c r="H125" i="34"/>
  <c r="H126" i="34"/>
  <c r="D127" i="34"/>
  <c r="H127" i="34"/>
  <c r="D128" i="34"/>
  <c r="H128" i="34"/>
  <c r="H130" i="34"/>
  <c r="H131" i="34"/>
  <c r="H132" i="34"/>
  <c r="F139" i="34"/>
  <c r="F140" i="34"/>
  <c r="F141" i="34"/>
  <c r="F144" i="34"/>
  <c r="BR5" i="47"/>
  <c r="BR6" i="47"/>
  <c r="BR7" i="47"/>
  <c r="BR14" i="47"/>
  <c r="BR15" i="47"/>
  <c r="BR17" i="47"/>
  <c r="BR19" i="47"/>
  <c r="BS19" i="47"/>
  <c r="BR22" i="47"/>
  <c r="BR24" i="47"/>
  <c r="BS24" i="47"/>
  <c r="BR26" i="47"/>
  <c r="BS26" i="47"/>
  <c r="D5" i="48"/>
  <c r="H5" i="48"/>
  <c r="M5" i="48"/>
  <c r="O5" i="48"/>
  <c r="H6" i="48"/>
  <c r="M6" i="48"/>
  <c r="O6" i="48"/>
  <c r="H7" i="48"/>
  <c r="M7" i="48"/>
  <c r="O7" i="48"/>
  <c r="D8" i="48"/>
  <c r="H8" i="48"/>
  <c r="M8" i="48"/>
  <c r="O8" i="48"/>
  <c r="D9" i="48"/>
  <c r="H9" i="48"/>
  <c r="M9" i="48"/>
  <c r="O9" i="48"/>
  <c r="H10" i="48"/>
  <c r="M10" i="48"/>
  <c r="H11" i="48"/>
  <c r="M11" i="48"/>
  <c r="O11" i="48"/>
  <c r="H12" i="48"/>
  <c r="H13" i="48"/>
  <c r="C29" i="25"/>
  <c r="C30" i="25"/>
  <c r="J30" i="25"/>
  <c r="C32" i="25"/>
  <c r="J33" i="25"/>
  <c r="J34" i="25"/>
  <c r="F38" i="25"/>
  <c r="C42" i="25"/>
  <c r="D12" i="13"/>
  <c r="D16" i="13"/>
  <c r="D17" i="13"/>
  <c r="D18" i="13"/>
  <c r="D21" i="13"/>
  <c r="C82" i="13"/>
  <c r="E82" i="13"/>
  <c r="F82" i="13"/>
  <c r="G82" i="13"/>
  <c r="C86" i="13"/>
  <c r="E86" i="13"/>
  <c r="F86" i="13"/>
  <c r="G86" i="13"/>
  <c r="C87" i="13"/>
  <c r="E87" i="13"/>
  <c r="F87" i="13"/>
  <c r="G87" i="13"/>
  <c r="C88" i="13"/>
  <c r="E88" i="13"/>
  <c r="F88" i="13"/>
  <c r="G88" i="13"/>
  <c r="C89" i="13"/>
  <c r="D98" i="13"/>
  <c r="E98" i="13"/>
  <c r="D102" i="13"/>
  <c r="E102" i="13"/>
  <c r="D103" i="13"/>
  <c r="E103" i="13"/>
  <c r="D104" i="13"/>
  <c r="E104" i="13"/>
  <c r="D105" i="13"/>
  <c r="E105" i="13"/>
  <c r="D7" i="50"/>
  <c r="H7" i="50"/>
  <c r="H8" i="50"/>
  <c r="H9" i="50"/>
  <c r="D10" i="50"/>
  <c r="H10" i="50"/>
  <c r="D11" i="50"/>
  <c r="H11" i="50"/>
  <c r="H12" i="50"/>
  <c r="H13" i="50"/>
  <c r="H14" i="50"/>
  <c r="H15" i="50"/>
  <c r="C24" i="50"/>
  <c r="D24" i="50"/>
  <c r="C25" i="50"/>
  <c r="D25" i="50"/>
  <c r="N17" i="51"/>
  <c r="N19" i="51"/>
  <c r="N21" i="51"/>
  <c r="N23" i="51"/>
  <c r="N25" i="51"/>
  <c r="N26" i="51"/>
  <c r="D4" i="18"/>
  <c r="G4" i="18"/>
  <c r="I4" i="18"/>
  <c r="B6" i="18"/>
  <c r="S6" i="18"/>
  <c r="AC6" i="18"/>
  <c r="AM6" i="18"/>
  <c r="AW6" i="18"/>
  <c r="BG6" i="18"/>
  <c r="X7" i="18"/>
  <c r="AH7" i="18"/>
  <c r="AR7" i="18"/>
  <c r="BB7" i="18"/>
  <c r="BL7" i="18"/>
  <c r="S8" i="18"/>
  <c r="V8" i="18"/>
  <c r="W8" i="18"/>
  <c r="X8" i="18"/>
  <c r="Y8" i="18"/>
  <c r="AC8" i="18"/>
  <c r="AF8" i="18"/>
  <c r="AG8" i="18"/>
  <c r="AH8" i="18"/>
  <c r="AI8" i="18"/>
  <c r="AM8" i="18"/>
  <c r="AP8" i="18"/>
  <c r="AQ8" i="18"/>
  <c r="AR8" i="18"/>
  <c r="AS8" i="18"/>
  <c r="AW8" i="18"/>
  <c r="AZ8" i="18"/>
  <c r="BA8" i="18"/>
  <c r="BB8" i="18"/>
  <c r="BC8" i="18"/>
  <c r="BG8" i="18"/>
  <c r="BJ8" i="18"/>
  <c r="BK8" i="18"/>
  <c r="BL8" i="18"/>
  <c r="BM8" i="18"/>
  <c r="BQ8" i="18"/>
  <c r="BT8" i="18"/>
  <c r="BU8" i="18"/>
  <c r="BV8" i="18"/>
  <c r="BW8" i="18"/>
  <c r="D9" i="18"/>
  <c r="V9" i="18"/>
  <c r="W9" i="18"/>
  <c r="X9" i="18"/>
  <c r="Y9" i="18"/>
  <c r="AF9" i="18"/>
  <c r="AG9" i="18"/>
  <c r="AH9" i="18"/>
  <c r="AI9" i="18"/>
  <c r="AP9" i="18"/>
  <c r="AQ9" i="18"/>
  <c r="AR9" i="18"/>
  <c r="AS9" i="18"/>
  <c r="AZ9" i="18"/>
  <c r="BA9" i="18"/>
  <c r="BB9" i="18"/>
  <c r="BC9" i="18"/>
  <c r="BJ9" i="18"/>
  <c r="BK9" i="18"/>
  <c r="BL9" i="18"/>
  <c r="BM9" i="18"/>
  <c r="BT9" i="18"/>
  <c r="BU9" i="18"/>
  <c r="BV9" i="18"/>
  <c r="BW9" i="18"/>
  <c r="V10" i="18"/>
  <c r="W10" i="18"/>
  <c r="X10" i="18"/>
  <c r="Y10" i="18"/>
  <c r="AF10" i="18"/>
  <c r="AG10" i="18"/>
  <c r="AH10" i="18"/>
  <c r="AI10" i="18"/>
  <c r="AP10" i="18"/>
  <c r="AQ10" i="18"/>
  <c r="AR10" i="18"/>
  <c r="AS10" i="18"/>
  <c r="AZ10" i="18"/>
  <c r="BA10" i="18"/>
  <c r="BB10" i="18"/>
  <c r="BC10" i="18"/>
  <c r="BJ10" i="18"/>
  <c r="BK10" i="18"/>
  <c r="BL10" i="18"/>
  <c r="BM10" i="18"/>
  <c r="BT10" i="18"/>
  <c r="BU10" i="18"/>
  <c r="BV10" i="18"/>
  <c r="BW10" i="18"/>
  <c r="V11" i="18"/>
  <c r="W11" i="18"/>
  <c r="X11" i="18"/>
  <c r="Y11" i="18"/>
  <c r="AF11" i="18"/>
  <c r="AG11" i="18"/>
  <c r="AH11" i="18"/>
  <c r="AI11" i="18"/>
  <c r="AP11" i="18"/>
  <c r="AQ11" i="18"/>
  <c r="AR11" i="18"/>
  <c r="AS11" i="18"/>
  <c r="AZ11" i="18"/>
  <c r="BA11" i="18"/>
  <c r="BB11" i="18"/>
  <c r="BC11" i="18"/>
  <c r="BJ11" i="18"/>
  <c r="BK11" i="18"/>
  <c r="BL11" i="18"/>
  <c r="BM11" i="18"/>
  <c r="BT11" i="18"/>
  <c r="BU11" i="18"/>
  <c r="BV11" i="18"/>
  <c r="BW11" i="18"/>
  <c r="V12" i="18"/>
  <c r="W12" i="18"/>
  <c r="X12" i="18"/>
  <c r="Y12" i="18"/>
  <c r="AF12" i="18"/>
  <c r="AG12" i="18"/>
  <c r="AH12" i="18"/>
  <c r="AI12" i="18"/>
  <c r="AP12" i="18"/>
  <c r="AQ12" i="18"/>
  <c r="AR12" i="18"/>
  <c r="AS12" i="18"/>
  <c r="AZ12" i="18"/>
  <c r="BA12" i="18"/>
  <c r="BB12" i="18"/>
  <c r="BC12" i="18"/>
  <c r="BJ12" i="18"/>
  <c r="BK12" i="18"/>
  <c r="BL12" i="18"/>
  <c r="BM12" i="18"/>
  <c r="BT12" i="18"/>
  <c r="BU12" i="18"/>
  <c r="BV12" i="18"/>
  <c r="BW12" i="18"/>
  <c r="C13" i="18"/>
  <c r="I13" i="18"/>
  <c r="J13" i="18"/>
  <c r="S13" i="18"/>
  <c r="V13" i="18"/>
  <c r="W13" i="18"/>
  <c r="X13" i="18"/>
  <c r="Y13" i="18"/>
  <c r="AC13" i="18"/>
  <c r="AF13" i="18"/>
  <c r="AG13" i="18"/>
  <c r="AH13" i="18"/>
  <c r="AI13" i="18"/>
  <c r="AM13" i="18"/>
  <c r="AP13" i="18"/>
  <c r="AQ13" i="18"/>
  <c r="AR13" i="18"/>
  <c r="AS13" i="18"/>
  <c r="AW13" i="18"/>
  <c r="AZ13" i="18"/>
  <c r="BA13" i="18"/>
  <c r="BB13" i="18"/>
  <c r="BC13" i="18"/>
  <c r="BG13" i="18"/>
  <c r="BJ13" i="18"/>
  <c r="BK13" i="18"/>
  <c r="BL13" i="18"/>
  <c r="BM13" i="18"/>
  <c r="BQ13" i="18"/>
  <c r="BT13" i="18"/>
  <c r="BU13" i="18"/>
  <c r="BV13" i="18"/>
  <c r="BW13" i="18"/>
  <c r="C14" i="18"/>
  <c r="I14" i="18"/>
  <c r="J14" i="18"/>
  <c r="N14" i="18"/>
  <c r="S14" i="18"/>
  <c r="V14" i="18"/>
  <c r="W14" i="18"/>
  <c r="X14" i="18"/>
  <c r="Y14" i="18"/>
  <c r="AC14" i="18"/>
  <c r="AF14" i="18"/>
  <c r="AG14" i="18"/>
  <c r="AH14" i="18"/>
  <c r="AI14" i="18"/>
  <c r="AM14" i="18"/>
  <c r="AP14" i="18"/>
  <c r="AQ14" i="18"/>
  <c r="AR14" i="18"/>
  <c r="AS14" i="18"/>
  <c r="AW14" i="18"/>
  <c r="AZ14" i="18"/>
  <c r="BA14" i="18"/>
  <c r="BB14" i="18"/>
  <c r="BC14" i="18"/>
  <c r="BG14" i="18"/>
  <c r="BJ14" i="18"/>
  <c r="BK14" i="18"/>
  <c r="BL14" i="18"/>
  <c r="BM14" i="18"/>
  <c r="BQ14" i="18"/>
  <c r="BT14" i="18"/>
  <c r="BU14" i="18"/>
  <c r="BV14" i="18"/>
  <c r="BW14" i="18"/>
  <c r="C15" i="18"/>
  <c r="I15" i="18"/>
  <c r="J15" i="18"/>
  <c r="V15" i="18"/>
  <c r="W15" i="18"/>
  <c r="X15" i="18"/>
  <c r="Y15" i="18"/>
  <c r="AF15" i="18"/>
  <c r="AG15" i="18"/>
  <c r="AH15" i="18"/>
  <c r="AI15" i="18"/>
  <c r="AP15" i="18"/>
  <c r="AQ15" i="18"/>
  <c r="AR15" i="18"/>
  <c r="AS15" i="18"/>
  <c r="AZ15" i="18"/>
  <c r="BA15" i="18"/>
  <c r="BB15" i="18"/>
  <c r="BC15" i="18"/>
  <c r="BJ15" i="18"/>
  <c r="BK15" i="18"/>
  <c r="BL15" i="18"/>
  <c r="BM15" i="18"/>
  <c r="BT15" i="18"/>
  <c r="BU15" i="18"/>
  <c r="BV15" i="18"/>
  <c r="BW15" i="18"/>
  <c r="C16" i="18"/>
  <c r="I16" i="18"/>
  <c r="J16" i="18"/>
  <c r="S16" i="18"/>
  <c r="V16" i="18"/>
  <c r="W16" i="18"/>
  <c r="X16" i="18"/>
  <c r="Y16" i="18"/>
  <c r="AC16" i="18"/>
  <c r="AF16" i="18"/>
  <c r="AG16" i="18"/>
  <c r="AH16" i="18"/>
  <c r="AI16" i="18"/>
  <c r="AM16" i="18"/>
  <c r="AP16" i="18"/>
  <c r="AQ16" i="18"/>
  <c r="AR16" i="18"/>
  <c r="AS16" i="18"/>
  <c r="AW16" i="18"/>
  <c r="AZ16" i="18"/>
  <c r="BA16" i="18"/>
  <c r="BB16" i="18"/>
  <c r="BC16" i="18"/>
  <c r="BG16" i="18"/>
  <c r="BJ16" i="18"/>
  <c r="BK16" i="18"/>
  <c r="BL16" i="18"/>
  <c r="BM16" i="18"/>
  <c r="BQ16" i="18"/>
  <c r="BT16" i="18"/>
  <c r="BU16" i="18"/>
  <c r="BV16" i="18"/>
  <c r="BW16" i="18"/>
  <c r="C17" i="18"/>
  <c r="I17" i="18"/>
  <c r="J17" i="18"/>
  <c r="S17" i="18"/>
  <c r="V17" i="18"/>
  <c r="W17" i="18"/>
  <c r="X17" i="18"/>
  <c r="Y17" i="18"/>
  <c r="AC17" i="18"/>
  <c r="AF17" i="18"/>
  <c r="AG17" i="18"/>
  <c r="AH17" i="18"/>
  <c r="AI17" i="18"/>
  <c r="AM17" i="18"/>
  <c r="AP17" i="18"/>
  <c r="AQ17" i="18"/>
  <c r="AR17" i="18"/>
  <c r="AS17" i="18"/>
  <c r="AW17" i="18"/>
  <c r="AZ17" i="18"/>
  <c r="BA17" i="18"/>
  <c r="BB17" i="18"/>
  <c r="BC17" i="18"/>
  <c r="BG17" i="18"/>
  <c r="BJ17" i="18"/>
  <c r="BK17" i="18"/>
  <c r="BL17" i="18"/>
  <c r="BM17" i="18"/>
  <c r="BQ17" i="18"/>
  <c r="BT17" i="18"/>
  <c r="BU17" i="18"/>
  <c r="BV17" i="18"/>
  <c r="BW17" i="18"/>
  <c r="N18" i="18"/>
  <c r="S18" i="18"/>
  <c r="T18" i="18"/>
  <c r="V18" i="18"/>
  <c r="W18" i="18"/>
  <c r="X18" i="18"/>
  <c r="Y18" i="18"/>
  <c r="AC18" i="18"/>
  <c r="AD18" i="18"/>
  <c r="AF18" i="18"/>
  <c r="AG18" i="18"/>
  <c r="AH18" i="18"/>
  <c r="AI18" i="18"/>
  <c r="AM18" i="18"/>
  <c r="AN18" i="18"/>
  <c r="AP18" i="18"/>
  <c r="AQ18" i="18"/>
  <c r="AR18" i="18"/>
  <c r="AS18" i="18"/>
  <c r="AW18" i="18"/>
  <c r="AX18" i="18"/>
  <c r="AZ18" i="18"/>
  <c r="BA18" i="18"/>
  <c r="BB18" i="18"/>
  <c r="BC18" i="18"/>
  <c r="BG18" i="18"/>
  <c r="BH18" i="18"/>
  <c r="BJ18" i="18"/>
  <c r="BK18" i="18"/>
  <c r="BL18" i="18"/>
  <c r="BM18" i="18"/>
  <c r="BQ18" i="18"/>
  <c r="BR18" i="18"/>
  <c r="BT18" i="18"/>
  <c r="BU18" i="18"/>
  <c r="BV18" i="18"/>
  <c r="BW18" i="18"/>
  <c r="C19" i="18"/>
  <c r="V19" i="18"/>
  <c r="W19" i="18"/>
  <c r="X19" i="18"/>
  <c r="Y19" i="18"/>
  <c r="AF19" i="18"/>
  <c r="AG19" i="18"/>
  <c r="AH19" i="18"/>
  <c r="AI19" i="18"/>
  <c r="AP19" i="18"/>
  <c r="AQ19" i="18"/>
  <c r="AR19" i="18"/>
  <c r="AS19" i="18"/>
  <c r="AZ19" i="18"/>
  <c r="BA19" i="18"/>
  <c r="BB19" i="18"/>
  <c r="BC19" i="18"/>
  <c r="BJ19" i="18"/>
  <c r="BK19" i="18"/>
  <c r="BL19" i="18"/>
  <c r="BM19" i="18"/>
  <c r="BT19" i="18"/>
  <c r="BU19" i="18"/>
  <c r="BV19" i="18"/>
  <c r="BW19" i="18"/>
  <c r="V20" i="18"/>
  <c r="W20" i="18"/>
  <c r="X20" i="18"/>
  <c r="Y20" i="18"/>
  <c r="AF20" i="18"/>
  <c r="AG20" i="18"/>
  <c r="AH20" i="18"/>
  <c r="AI20" i="18"/>
  <c r="AP20" i="18"/>
  <c r="AQ20" i="18"/>
  <c r="AR20" i="18"/>
  <c r="AS20" i="18"/>
  <c r="AZ20" i="18"/>
  <c r="BA20" i="18"/>
  <c r="BB20" i="18"/>
  <c r="BC20" i="18"/>
  <c r="BJ20" i="18"/>
  <c r="BK20" i="18"/>
  <c r="BL20" i="18"/>
  <c r="BM20" i="18"/>
  <c r="BT20" i="18"/>
  <c r="BU20" i="18"/>
  <c r="BV20" i="18"/>
  <c r="BW20" i="18"/>
  <c r="V21" i="18"/>
  <c r="W21" i="18"/>
  <c r="X21" i="18"/>
  <c r="Y21" i="18"/>
  <c r="AF21" i="18"/>
  <c r="AG21" i="18"/>
  <c r="AH21" i="18"/>
  <c r="AI21" i="18"/>
  <c r="AP21" i="18"/>
  <c r="AQ21" i="18"/>
  <c r="AR21" i="18"/>
  <c r="AS21" i="18"/>
  <c r="AZ21" i="18"/>
  <c r="BA21" i="18"/>
  <c r="BB21" i="18"/>
  <c r="BC21" i="18"/>
  <c r="BJ21" i="18"/>
  <c r="BK21" i="18"/>
  <c r="BL21" i="18"/>
  <c r="BM21" i="18"/>
  <c r="BT21" i="18"/>
  <c r="BU21" i="18"/>
  <c r="BV21" i="18"/>
  <c r="BW21" i="18"/>
  <c r="V22" i="18"/>
  <c r="W22" i="18"/>
  <c r="X22" i="18"/>
  <c r="Y22" i="18"/>
  <c r="AF22" i="18"/>
  <c r="AG22" i="18"/>
  <c r="AH22" i="18"/>
  <c r="AI22" i="18"/>
  <c r="AP22" i="18"/>
  <c r="AQ22" i="18"/>
  <c r="AR22" i="18"/>
  <c r="AS22" i="18"/>
  <c r="AZ22" i="18"/>
  <c r="BA22" i="18"/>
  <c r="BB22" i="18"/>
  <c r="BC22" i="18"/>
  <c r="BJ22" i="18"/>
  <c r="BK22" i="18"/>
  <c r="BL22" i="18"/>
  <c r="BM22" i="18"/>
  <c r="BT22" i="18"/>
  <c r="BU22" i="18"/>
  <c r="BV22" i="18"/>
  <c r="BW22" i="18"/>
  <c r="V23" i="18"/>
  <c r="W23" i="18"/>
  <c r="X23" i="18"/>
  <c r="Y23" i="18"/>
  <c r="AF23" i="18"/>
  <c r="AG23" i="18"/>
  <c r="AH23" i="18"/>
  <c r="AI23" i="18"/>
  <c r="AP23" i="18"/>
  <c r="AQ23" i="18"/>
  <c r="AR23" i="18"/>
  <c r="AS23" i="18"/>
  <c r="AZ23" i="18"/>
  <c r="BA23" i="18"/>
  <c r="BB23" i="18"/>
  <c r="BC23" i="18"/>
  <c r="BJ23" i="18"/>
  <c r="BK23" i="18"/>
  <c r="BL23" i="18"/>
  <c r="BM23" i="18"/>
  <c r="BT23" i="18"/>
  <c r="BU23" i="18"/>
  <c r="BV23" i="18"/>
  <c r="BW23" i="18"/>
  <c r="S24" i="18"/>
  <c r="V24" i="18"/>
  <c r="W24" i="18"/>
  <c r="X24" i="18"/>
  <c r="Y24" i="18"/>
  <c r="AC24" i="18"/>
  <c r="AF24" i="18"/>
  <c r="AG24" i="18"/>
  <c r="AH24" i="18"/>
  <c r="AI24" i="18"/>
  <c r="AM24" i="18"/>
  <c r="AP24" i="18"/>
  <c r="AQ24" i="18"/>
  <c r="AR24" i="18"/>
  <c r="AS24" i="18"/>
  <c r="AW24" i="18"/>
  <c r="AZ24" i="18"/>
  <c r="BA24" i="18"/>
  <c r="BB24" i="18"/>
  <c r="BC24" i="18"/>
  <c r="BG24" i="18"/>
  <c r="BJ24" i="18"/>
  <c r="BK24" i="18"/>
  <c r="BL24" i="18"/>
  <c r="BM24" i="18"/>
  <c r="BQ24" i="18"/>
  <c r="BT24" i="18"/>
  <c r="BU24" i="18"/>
  <c r="BV24" i="18"/>
  <c r="BW24" i="18"/>
  <c r="V25" i="18"/>
  <c r="W25" i="18"/>
  <c r="X25" i="18"/>
  <c r="Y25" i="18"/>
  <c r="AF25" i="18"/>
  <c r="AG25" i="18"/>
  <c r="AH25" i="18"/>
  <c r="AI25" i="18"/>
  <c r="AP25" i="18"/>
  <c r="AQ25" i="18"/>
  <c r="AR25" i="18"/>
  <c r="AS25" i="18"/>
  <c r="AZ25" i="18"/>
  <c r="BA25" i="18"/>
  <c r="BB25" i="18"/>
  <c r="BC25" i="18"/>
  <c r="BJ25" i="18"/>
  <c r="BK25" i="18"/>
  <c r="BL25" i="18"/>
  <c r="BM25" i="18"/>
  <c r="BT25" i="18"/>
  <c r="BU25" i="18"/>
  <c r="BV25" i="18"/>
  <c r="BW25" i="18"/>
  <c r="V26" i="18"/>
  <c r="W26" i="18"/>
  <c r="X26" i="18"/>
  <c r="Y26" i="18"/>
  <c r="AF26" i="18"/>
  <c r="AG26" i="18"/>
  <c r="AH26" i="18"/>
  <c r="AI26" i="18"/>
  <c r="AP26" i="18"/>
  <c r="AQ26" i="18"/>
  <c r="AR26" i="18"/>
  <c r="AS26" i="18"/>
  <c r="AZ26" i="18"/>
  <c r="BA26" i="18"/>
  <c r="BB26" i="18"/>
  <c r="BC26" i="18"/>
  <c r="BJ26" i="18"/>
  <c r="BK26" i="18"/>
  <c r="BL26" i="18"/>
  <c r="BM26" i="18"/>
  <c r="BT26" i="18"/>
  <c r="BU26" i="18"/>
  <c r="BV26" i="18"/>
  <c r="BW26" i="18"/>
  <c r="V27" i="18"/>
  <c r="W27" i="18"/>
  <c r="X27" i="18"/>
  <c r="Y27" i="18"/>
  <c r="AF27" i="18"/>
  <c r="AG27" i="18"/>
  <c r="AH27" i="18"/>
  <c r="AI27" i="18"/>
  <c r="AP27" i="18"/>
  <c r="AQ27" i="18"/>
  <c r="AR27" i="18"/>
  <c r="AS27" i="18"/>
  <c r="AZ27" i="18"/>
  <c r="BA27" i="18"/>
  <c r="BB27" i="18"/>
  <c r="BC27" i="18"/>
  <c r="BJ27" i="18"/>
  <c r="BK27" i="18"/>
  <c r="BL27" i="18"/>
  <c r="BM27" i="18"/>
  <c r="BT27" i="18"/>
  <c r="BU27" i="18"/>
  <c r="BV27" i="18"/>
  <c r="BW27" i="18"/>
  <c r="N30" i="18"/>
  <c r="V30" i="18"/>
  <c r="W30" i="18"/>
  <c r="X30" i="18"/>
  <c r="AF30" i="18"/>
  <c r="AG30" i="18"/>
  <c r="AH30" i="18"/>
  <c r="AP30" i="18"/>
  <c r="AQ30" i="18"/>
  <c r="AR30" i="18"/>
  <c r="AZ30" i="18"/>
  <c r="BA30" i="18"/>
  <c r="BB30" i="18"/>
  <c r="BJ30" i="18"/>
  <c r="BK30" i="18"/>
  <c r="BL30" i="18"/>
  <c r="BT30" i="18"/>
  <c r="BU30" i="18"/>
  <c r="BV30" i="18"/>
  <c r="N31" i="18"/>
  <c r="V32" i="18"/>
  <c r="AF32" i="18"/>
  <c r="AP32" i="18"/>
  <c r="AZ32" i="18"/>
  <c r="BJ32" i="18"/>
  <c r="BT32" i="18"/>
  <c r="N34" i="18"/>
  <c r="O34" i="18"/>
  <c r="V34" i="18"/>
  <c r="AF34" i="18"/>
  <c r="AP34" i="18"/>
  <c r="AZ34" i="18"/>
  <c r="BJ34" i="18"/>
  <c r="BT34" i="18"/>
  <c r="O35" i="18"/>
  <c r="Q35" i="18"/>
  <c r="O36" i="18"/>
  <c r="V36" i="18"/>
  <c r="AF36" i="18"/>
  <c r="AP36" i="18"/>
  <c r="AZ36" i="18"/>
  <c r="BJ36" i="18"/>
  <c r="BT36" i="18"/>
  <c r="V38" i="18"/>
  <c r="BT38" i="18"/>
  <c r="V40" i="18"/>
  <c r="AF40" i="18"/>
  <c r="AP40" i="18"/>
  <c r="AZ40" i="18"/>
  <c r="BJ40" i="18"/>
  <c r="BT40" i="18"/>
  <c r="N42" i="18"/>
  <c r="N43" i="18"/>
  <c r="V44" i="18"/>
  <c r="W44" i="18"/>
  <c r="AF44" i="18"/>
  <c r="AG44" i="18"/>
  <c r="AP44" i="18"/>
  <c r="AQ44" i="18"/>
  <c r="AZ44" i="18"/>
  <c r="BA44" i="18"/>
  <c r="BJ44" i="18"/>
  <c r="BK44" i="18"/>
  <c r="BT44" i="18"/>
  <c r="BU44" i="18"/>
  <c r="N46" i="18"/>
  <c r="W51" i="18"/>
  <c r="W54" i="18"/>
  <c r="W55" i="18"/>
  <c r="D4" i="19"/>
  <c r="G4" i="19"/>
  <c r="B6" i="19"/>
  <c r="D7" i="19"/>
  <c r="S8" i="19"/>
  <c r="V8" i="19"/>
  <c r="W8" i="19"/>
  <c r="X8" i="19"/>
  <c r="Y8" i="19"/>
  <c r="AC8" i="19"/>
  <c r="AF8" i="19"/>
  <c r="AG8" i="19"/>
  <c r="AH8" i="19"/>
  <c r="AI8" i="19"/>
  <c r="AM8" i="19"/>
  <c r="AP8" i="19"/>
  <c r="AQ8" i="19"/>
  <c r="AR8" i="19"/>
  <c r="AS8" i="19"/>
  <c r="AW8" i="19"/>
  <c r="AZ8" i="19"/>
  <c r="BA8" i="19"/>
  <c r="BB8" i="19"/>
  <c r="BC8" i="19"/>
  <c r="BG8" i="19"/>
  <c r="BJ8" i="19"/>
  <c r="BK8" i="19"/>
  <c r="BL8" i="19"/>
  <c r="BM8" i="19"/>
  <c r="BQ8" i="19"/>
  <c r="BT8" i="19"/>
  <c r="BU8" i="19"/>
  <c r="BV8" i="19"/>
  <c r="BW8" i="19"/>
  <c r="D9" i="19"/>
  <c r="V9" i="19"/>
  <c r="W9" i="19"/>
  <c r="X9" i="19"/>
  <c r="Y9" i="19"/>
  <c r="AF9" i="19"/>
  <c r="AG9" i="19"/>
  <c r="AH9" i="19"/>
  <c r="AI9" i="19"/>
  <c r="AP9" i="19"/>
  <c r="AQ9" i="19"/>
  <c r="AR9" i="19"/>
  <c r="AS9" i="19"/>
  <c r="AZ9" i="19"/>
  <c r="BA9" i="19"/>
  <c r="BB9" i="19"/>
  <c r="BC9" i="19"/>
  <c r="BJ9" i="19"/>
  <c r="BK9" i="19"/>
  <c r="BL9" i="19"/>
  <c r="BM9" i="19"/>
  <c r="BT9" i="19"/>
  <c r="BU9" i="19"/>
  <c r="BV9" i="19"/>
  <c r="BW9" i="19"/>
  <c r="V10" i="19"/>
  <c r="W10" i="19"/>
  <c r="X10" i="19"/>
  <c r="Y10" i="19"/>
  <c r="AF10" i="19"/>
  <c r="AG10" i="19"/>
  <c r="AH10" i="19"/>
  <c r="AI10" i="19"/>
  <c r="AP10" i="19"/>
  <c r="AQ10" i="19"/>
  <c r="AR10" i="19"/>
  <c r="AS10" i="19"/>
  <c r="AZ10" i="19"/>
  <c r="BA10" i="19"/>
  <c r="BB10" i="19"/>
  <c r="BC10" i="19"/>
  <c r="BJ10" i="19"/>
  <c r="BK10" i="19"/>
  <c r="BL10" i="19"/>
  <c r="BM10" i="19"/>
  <c r="BT10" i="19"/>
  <c r="BU10" i="19"/>
  <c r="BV10" i="19"/>
  <c r="BW10" i="19"/>
  <c r="V11" i="19"/>
  <c r="W11" i="19"/>
  <c r="X11" i="19"/>
  <c r="Y11" i="19"/>
  <c r="AF11" i="19"/>
  <c r="AG11" i="19"/>
  <c r="AH11" i="19"/>
  <c r="AI11" i="19"/>
  <c r="AP11" i="19"/>
  <c r="AQ11" i="19"/>
  <c r="AR11" i="19"/>
  <c r="AS11" i="19"/>
  <c r="AZ11" i="19"/>
  <c r="BA11" i="19"/>
  <c r="BB11" i="19"/>
  <c r="BC11" i="19"/>
  <c r="BJ11" i="19"/>
  <c r="BK11" i="19"/>
  <c r="BL11" i="19"/>
  <c r="BM11" i="19"/>
  <c r="BT11" i="19"/>
  <c r="BU11" i="19"/>
  <c r="BV11" i="19"/>
  <c r="BW11" i="19"/>
  <c r="V12" i="19"/>
  <c r="W12" i="19"/>
  <c r="X12" i="19"/>
  <c r="Y12" i="19"/>
  <c r="AF12" i="19"/>
  <c r="AG12" i="19"/>
  <c r="AH12" i="19"/>
  <c r="AI12" i="19"/>
  <c r="AP12" i="19"/>
  <c r="AQ12" i="19"/>
  <c r="AR12" i="19"/>
  <c r="AS12" i="19"/>
  <c r="AZ12" i="19"/>
  <c r="BA12" i="19"/>
  <c r="BB12" i="19"/>
  <c r="BC12" i="19"/>
  <c r="BJ12" i="19"/>
  <c r="BK12" i="19"/>
  <c r="BL12" i="19"/>
  <c r="BM12" i="19"/>
  <c r="BT12" i="19"/>
  <c r="BU12" i="19"/>
  <c r="BV12" i="19"/>
  <c r="BW12" i="19"/>
  <c r="I13" i="19"/>
  <c r="J13" i="19"/>
  <c r="K13" i="19"/>
  <c r="L13" i="19"/>
  <c r="S13" i="19"/>
  <c r="V13" i="19"/>
  <c r="W13" i="19"/>
  <c r="X13" i="19"/>
  <c r="Y13" i="19"/>
  <c r="AC13" i="19"/>
  <c r="AF13" i="19"/>
  <c r="AG13" i="19"/>
  <c r="AH13" i="19"/>
  <c r="AI13" i="19"/>
  <c r="AM13" i="19"/>
  <c r="AP13" i="19"/>
  <c r="AQ13" i="19"/>
  <c r="AR13" i="19"/>
  <c r="AS13" i="19"/>
  <c r="AW13" i="19"/>
  <c r="AZ13" i="19"/>
  <c r="BA13" i="19"/>
  <c r="BB13" i="19"/>
  <c r="BC13" i="19"/>
  <c r="BG13" i="19"/>
  <c r="BJ13" i="19"/>
  <c r="BK13" i="19"/>
  <c r="BL13" i="19"/>
  <c r="BM13" i="19"/>
  <c r="BQ13" i="19"/>
  <c r="BT13" i="19"/>
  <c r="BU13" i="19"/>
  <c r="BV13" i="19"/>
  <c r="BW13" i="19"/>
  <c r="I14" i="19"/>
  <c r="J14" i="19"/>
  <c r="K14" i="19"/>
  <c r="L14" i="19"/>
  <c r="N14" i="19"/>
  <c r="S14" i="19"/>
  <c r="V14" i="19"/>
  <c r="W14" i="19"/>
  <c r="X14" i="19"/>
  <c r="Y14" i="19"/>
  <c r="AC14" i="19"/>
  <c r="AF14" i="19"/>
  <c r="AG14" i="19"/>
  <c r="AH14" i="19"/>
  <c r="AI14" i="19"/>
  <c r="AM14" i="19"/>
  <c r="AP14" i="19"/>
  <c r="AQ14" i="19"/>
  <c r="AR14" i="19"/>
  <c r="AS14" i="19"/>
  <c r="AW14" i="19"/>
  <c r="AZ14" i="19"/>
  <c r="BA14" i="19"/>
  <c r="BB14" i="19"/>
  <c r="BC14" i="19"/>
  <c r="BG14" i="19"/>
  <c r="BJ14" i="19"/>
  <c r="BK14" i="19"/>
  <c r="BL14" i="19"/>
  <c r="BM14" i="19"/>
  <c r="BQ14" i="19"/>
  <c r="BT14" i="19"/>
  <c r="BU14" i="19"/>
  <c r="BV14" i="19"/>
  <c r="BW14" i="19"/>
  <c r="I15" i="19"/>
  <c r="J15" i="19"/>
  <c r="K15" i="19"/>
  <c r="L15" i="19"/>
  <c r="V15" i="19"/>
  <c r="W15" i="19"/>
  <c r="X15" i="19"/>
  <c r="Y15" i="19"/>
  <c r="AF15" i="19"/>
  <c r="AG15" i="19"/>
  <c r="AH15" i="19"/>
  <c r="AI15" i="19"/>
  <c r="AP15" i="19"/>
  <c r="AQ15" i="19"/>
  <c r="AR15" i="19"/>
  <c r="AS15" i="19"/>
  <c r="AZ15" i="19"/>
  <c r="BA15" i="19"/>
  <c r="BB15" i="19"/>
  <c r="BC15" i="19"/>
  <c r="BJ15" i="19"/>
  <c r="BK15" i="19"/>
  <c r="BL15" i="19"/>
  <c r="BM15" i="19"/>
  <c r="BT15" i="19"/>
  <c r="BU15" i="19"/>
  <c r="BV15" i="19"/>
  <c r="BW15" i="19"/>
  <c r="I16" i="19"/>
  <c r="J16" i="19"/>
  <c r="K16" i="19"/>
  <c r="L16" i="19"/>
  <c r="S16" i="19"/>
  <c r="V16" i="19"/>
  <c r="W16" i="19"/>
  <c r="X16" i="19"/>
  <c r="Y16" i="19"/>
  <c r="AC16" i="19"/>
  <c r="AF16" i="19"/>
  <c r="AG16" i="19"/>
  <c r="AH16" i="19"/>
  <c r="AI16" i="19"/>
  <c r="AM16" i="19"/>
  <c r="AP16" i="19"/>
  <c r="AQ16" i="19"/>
  <c r="AR16" i="19"/>
  <c r="AS16" i="19"/>
  <c r="AW16" i="19"/>
  <c r="AZ16" i="19"/>
  <c r="BA16" i="19"/>
  <c r="BB16" i="19"/>
  <c r="BC16" i="19"/>
  <c r="BG16" i="19"/>
  <c r="BJ16" i="19"/>
  <c r="BK16" i="19"/>
  <c r="BL16" i="19"/>
  <c r="BM16" i="19"/>
  <c r="BQ16" i="19"/>
  <c r="BT16" i="19"/>
  <c r="BU16" i="19"/>
  <c r="BV16" i="19"/>
  <c r="BW16" i="19"/>
  <c r="I17" i="19"/>
  <c r="J17" i="19"/>
  <c r="K17" i="19"/>
  <c r="L17" i="19"/>
  <c r="S17" i="19"/>
  <c r="V17" i="19"/>
  <c r="W17" i="19"/>
  <c r="X17" i="19"/>
  <c r="Y17" i="19"/>
  <c r="AC17" i="19"/>
  <c r="AF17" i="19"/>
  <c r="AG17" i="19"/>
  <c r="AH17" i="19"/>
  <c r="AI17" i="19"/>
  <c r="AM17" i="19"/>
  <c r="AP17" i="19"/>
  <c r="AQ17" i="19"/>
  <c r="AR17" i="19"/>
  <c r="AS17" i="19"/>
  <c r="AW17" i="19"/>
  <c r="AZ17" i="19"/>
  <c r="BA17" i="19"/>
  <c r="BB17" i="19"/>
  <c r="BC17" i="19"/>
  <c r="BG17" i="19"/>
  <c r="BJ17" i="19"/>
  <c r="BK17" i="19"/>
  <c r="BL17" i="19"/>
  <c r="BM17" i="19"/>
  <c r="BQ17" i="19"/>
  <c r="BT17" i="19"/>
  <c r="BU17" i="19"/>
  <c r="BV17" i="19"/>
  <c r="BW17" i="19"/>
  <c r="N18" i="19"/>
  <c r="S18" i="19"/>
  <c r="T18" i="19"/>
  <c r="V18" i="19"/>
  <c r="W18" i="19"/>
  <c r="X18" i="19"/>
  <c r="Y18" i="19"/>
  <c r="AC18" i="19"/>
  <c r="AD18" i="19"/>
  <c r="AF18" i="19"/>
  <c r="AG18" i="19"/>
  <c r="AH18" i="19"/>
  <c r="AI18" i="19"/>
  <c r="AM18" i="19"/>
  <c r="AN18" i="19"/>
  <c r="AP18" i="19"/>
  <c r="AQ18" i="19"/>
  <c r="AR18" i="19"/>
  <c r="AS18" i="19"/>
  <c r="AW18" i="19"/>
  <c r="AX18" i="19"/>
  <c r="AZ18" i="19"/>
  <c r="BA18" i="19"/>
  <c r="BB18" i="19"/>
  <c r="BC18" i="19"/>
  <c r="BG18" i="19"/>
  <c r="BH18" i="19"/>
  <c r="BJ18" i="19"/>
  <c r="BK18" i="19"/>
  <c r="BL18" i="19"/>
  <c r="BM18" i="19"/>
  <c r="BQ18" i="19"/>
  <c r="BR18" i="19"/>
  <c r="BT18" i="19"/>
  <c r="BU18" i="19"/>
  <c r="BV18" i="19"/>
  <c r="BW18" i="19"/>
  <c r="C19" i="19"/>
  <c r="V19" i="19"/>
  <c r="W19" i="19"/>
  <c r="X19" i="19"/>
  <c r="Y19" i="19"/>
  <c r="AF19" i="19"/>
  <c r="AG19" i="19"/>
  <c r="AH19" i="19"/>
  <c r="AI19" i="19"/>
  <c r="AP19" i="19"/>
  <c r="AQ19" i="19"/>
  <c r="AR19" i="19"/>
  <c r="AS19" i="19"/>
  <c r="AZ19" i="19"/>
  <c r="BA19" i="19"/>
  <c r="BB19" i="19"/>
  <c r="BC19" i="19"/>
  <c r="BJ19" i="19"/>
  <c r="BK19" i="19"/>
  <c r="BL19" i="19"/>
  <c r="BM19" i="19"/>
  <c r="BT19" i="19"/>
  <c r="BU19" i="19"/>
  <c r="BV19" i="19"/>
  <c r="BW19" i="19"/>
  <c r="V20" i="19"/>
  <c r="W20" i="19"/>
  <c r="X20" i="19"/>
  <c r="Y20" i="19"/>
  <c r="AF20" i="19"/>
  <c r="AG20" i="19"/>
  <c r="AH20" i="19"/>
  <c r="AI20" i="19"/>
  <c r="AP20" i="19"/>
  <c r="AQ20" i="19"/>
  <c r="AR20" i="19"/>
  <c r="AS20" i="19"/>
  <c r="AZ20" i="19"/>
  <c r="BA20" i="19"/>
  <c r="BB20" i="19"/>
  <c r="BC20" i="19"/>
  <c r="BJ20" i="19"/>
  <c r="BK20" i="19"/>
  <c r="BL20" i="19"/>
  <c r="BM20" i="19"/>
  <c r="BT20" i="19"/>
  <c r="BU20" i="19"/>
  <c r="BV20" i="19"/>
  <c r="BW20" i="19"/>
  <c r="V21" i="19"/>
  <c r="W21" i="19"/>
  <c r="X21" i="19"/>
  <c r="Y21" i="19"/>
  <c r="AF21" i="19"/>
  <c r="AG21" i="19"/>
  <c r="AH21" i="19"/>
  <c r="AI21" i="19"/>
  <c r="AP21" i="19"/>
  <c r="AQ21" i="19"/>
  <c r="AR21" i="19"/>
  <c r="AS21" i="19"/>
  <c r="AZ21" i="19"/>
  <c r="BA21" i="19"/>
  <c r="BB21" i="19"/>
  <c r="BC21" i="19"/>
  <c r="BJ21" i="19"/>
  <c r="BK21" i="19"/>
  <c r="BL21" i="19"/>
  <c r="BM21" i="19"/>
  <c r="BT21" i="19"/>
  <c r="BU21" i="19"/>
  <c r="BV21" i="19"/>
  <c r="BW21" i="19"/>
  <c r="V22" i="19"/>
  <c r="W22" i="19"/>
  <c r="X22" i="19"/>
  <c r="Y22" i="19"/>
  <c r="AF22" i="19"/>
  <c r="AG22" i="19"/>
  <c r="AH22" i="19"/>
  <c r="AI22" i="19"/>
  <c r="AP22" i="19"/>
  <c r="AQ22" i="19"/>
  <c r="AR22" i="19"/>
  <c r="AS22" i="19"/>
  <c r="AZ22" i="19"/>
  <c r="BA22" i="19"/>
  <c r="BB22" i="19"/>
  <c r="BC22" i="19"/>
  <c r="BJ22" i="19"/>
  <c r="BK22" i="19"/>
  <c r="BL22" i="19"/>
  <c r="BM22" i="19"/>
  <c r="BT22" i="19"/>
  <c r="BU22" i="19"/>
  <c r="BV22" i="19"/>
  <c r="BW22" i="19"/>
  <c r="V23" i="19"/>
  <c r="W23" i="19"/>
  <c r="X23" i="19"/>
  <c r="Y23" i="19"/>
  <c r="AF23" i="19"/>
  <c r="AG23" i="19"/>
  <c r="AH23" i="19"/>
  <c r="AI23" i="19"/>
  <c r="AP23" i="19"/>
  <c r="AQ23" i="19"/>
  <c r="AR23" i="19"/>
  <c r="AS23" i="19"/>
  <c r="AZ23" i="19"/>
  <c r="BA23" i="19"/>
  <c r="BB23" i="19"/>
  <c r="BC23" i="19"/>
  <c r="BJ23" i="19"/>
  <c r="BK23" i="19"/>
  <c r="BL23" i="19"/>
  <c r="BM23" i="19"/>
  <c r="BT23" i="19"/>
  <c r="BU23" i="19"/>
  <c r="BV23" i="19"/>
  <c r="BW23" i="19"/>
  <c r="S24" i="19"/>
  <c r="V24" i="19"/>
  <c r="W24" i="19"/>
  <c r="X24" i="19"/>
  <c r="Y24" i="19"/>
  <c r="AC24" i="19"/>
  <c r="AF24" i="19"/>
  <c r="AG24" i="19"/>
  <c r="AH24" i="19"/>
  <c r="AI24" i="19"/>
  <c r="AM24" i="19"/>
  <c r="AP24" i="19"/>
  <c r="AQ24" i="19"/>
  <c r="AR24" i="19"/>
  <c r="AS24" i="19"/>
  <c r="AW24" i="19"/>
  <c r="AZ24" i="19"/>
  <c r="BA24" i="19"/>
  <c r="BB24" i="19"/>
  <c r="BC24" i="19"/>
  <c r="BG24" i="19"/>
  <c r="BJ24" i="19"/>
  <c r="BK24" i="19"/>
  <c r="BL24" i="19"/>
  <c r="BM24" i="19"/>
  <c r="BQ24" i="19"/>
  <c r="BT24" i="19"/>
  <c r="BU24" i="19"/>
  <c r="BV24" i="19"/>
  <c r="BW24" i="19"/>
  <c r="V25" i="19"/>
  <c r="W25" i="19"/>
  <c r="X25" i="19"/>
  <c r="Y25" i="19"/>
  <c r="AF25" i="19"/>
  <c r="AG25" i="19"/>
  <c r="AH25" i="19"/>
  <c r="AI25" i="19"/>
  <c r="AP25" i="19"/>
  <c r="AQ25" i="19"/>
  <c r="AR25" i="19"/>
  <c r="AS25" i="19"/>
  <c r="AZ25" i="19"/>
  <c r="BA25" i="19"/>
  <c r="BB25" i="19"/>
  <c r="BC25" i="19"/>
  <c r="BJ25" i="19"/>
  <c r="BK25" i="19"/>
  <c r="BL25" i="19"/>
  <c r="BM25" i="19"/>
  <c r="BT25" i="19"/>
  <c r="BU25" i="19"/>
  <c r="BV25" i="19"/>
  <c r="BW25" i="19"/>
  <c r="V26" i="19"/>
  <c r="W26" i="19"/>
  <c r="X26" i="19"/>
  <c r="Y26" i="19"/>
  <c r="AF26" i="19"/>
  <c r="AG26" i="19"/>
  <c r="AH26" i="19"/>
  <c r="AI26" i="19"/>
  <c r="AP26" i="19"/>
  <c r="AQ26" i="19"/>
  <c r="AR26" i="19"/>
  <c r="AS26" i="19"/>
  <c r="AZ26" i="19"/>
  <c r="BA26" i="19"/>
  <c r="BB26" i="19"/>
  <c r="BC26" i="19"/>
  <c r="BJ26" i="19"/>
  <c r="BK26" i="19"/>
  <c r="BL26" i="19"/>
  <c r="BM26" i="19"/>
  <c r="BT26" i="19"/>
  <c r="BU26" i="19"/>
  <c r="BV26" i="19"/>
  <c r="BW26" i="19"/>
  <c r="V27" i="19"/>
  <c r="W27" i="19"/>
  <c r="X27" i="19"/>
  <c r="Y27" i="19"/>
  <c r="AF27" i="19"/>
  <c r="AG27" i="19"/>
  <c r="AH27" i="19"/>
  <c r="AI27" i="19"/>
  <c r="AP27" i="19"/>
  <c r="AQ27" i="19"/>
  <c r="AR27" i="19"/>
  <c r="AS27" i="19"/>
  <c r="AZ27" i="19"/>
  <c r="BA27" i="19"/>
  <c r="BB27" i="19"/>
  <c r="BC27" i="19"/>
  <c r="BJ27" i="19"/>
  <c r="BK27" i="19"/>
  <c r="BL27" i="19"/>
  <c r="BM27" i="19"/>
  <c r="BT27" i="19"/>
  <c r="BU27" i="19"/>
  <c r="BV27" i="19"/>
  <c r="BW27" i="19"/>
  <c r="N30" i="19"/>
  <c r="V30" i="19"/>
  <c r="AF30" i="19"/>
  <c r="AP30" i="19"/>
  <c r="AZ30" i="19"/>
  <c r="BJ30" i="19"/>
  <c r="BT30" i="19"/>
  <c r="N31" i="19"/>
  <c r="V32" i="19"/>
  <c r="AF32" i="19"/>
  <c r="AP32" i="19"/>
  <c r="AZ32" i="19"/>
  <c r="BJ32" i="19"/>
  <c r="BT32" i="19"/>
  <c r="N34" i="19"/>
  <c r="O34" i="19"/>
  <c r="V34" i="19"/>
  <c r="AF34" i="19"/>
  <c r="AP34" i="19"/>
  <c r="AZ34" i="19"/>
  <c r="BJ34" i="19"/>
  <c r="BT34" i="19"/>
  <c r="O35" i="19"/>
  <c r="Q35" i="19"/>
  <c r="O36" i="19"/>
  <c r="V36" i="19"/>
  <c r="AF36" i="19"/>
  <c r="AP36" i="19"/>
  <c r="AZ36" i="19"/>
  <c r="BJ36" i="19"/>
  <c r="BT36" i="19"/>
  <c r="V38" i="19"/>
  <c r="BT38" i="19"/>
  <c r="V40" i="19"/>
  <c r="AF40" i="19"/>
  <c r="AP40" i="19"/>
  <c r="AZ40" i="19"/>
  <c r="BJ40" i="19"/>
  <c r="BT40" i="19"/>
  <c r="N42" i="19"/>
  <c r="N43" i="19"/>
  <c r="V44" i="19"/>
  <c r="W44" i="19"/>
  <c r="AF44" i="19"/>
  <c r="AG44" i="19"/>
  <c r="AP44" i="19"/>
  <c r="AQ44" i="19"/>
  <c r="AZ44" i="19"/>
  <c r="BA44" i="19"/>
  <c r="BJ44" i="19"/>
  <c r="BK44" i="19"/>
  <c r="BT44" i="19"/>
  <c r="BU44" i="19"/>
  <c r="N46" i="19"/>
  <c r="W51" i="19"/>
  <c r="W54" i="19"/>
  <c r="W55" i="19"/>
  <c r="E1" i="10"/>
  <c r="F3" i="10"/>
  <c r="F6" i="10"/>
  <c r="D7" i="10"/>
  <c r="G7" i="10"/>
  <c r="H12" i="10"/>
  <c r="G16" i="10"/>
  <c r="H16" i="10"/>
  <c r="D20" i="10"/>
  <c r="D27" i="10"/>
  <c r="E27" i="10"/>
  <c r="J27" i="10"/>
  <c r="K28" i="10"/>
  <c r="D29" i="10"/>
  <c r="E29" i="10"/>
  <c r="J29" i="10"/>
  <c r="D32" i="10"/>
  <c r="E32" i="10"/>
  <c r="F32" i="10"/>
  <c r="G32" i="10"/>
  <c r="H32" i="10"/>
  <c r="I32" i="10"/>
  <c r="D33" i="10"/>
  <c r="E33" i="10"/>
  <c r="F33" i="10"/>
  <c r="G33" i="10"/>
  <c r="H33" i="10"/>
  <c r="I33" i="10"/>
  <c r="J33" i="10"/>
  <c r="D34" i="10"/>
  <c r="E34" i="10"/>
  <c r="F34" i="10"/>
  <c r="G34" i="10"/>
  <c r="H34" i="10"/>
  <c r="I34" i="10"/>
  <c r="J34" i="10"/>
  <c r="D35" i="10"/>
  <c r="E35" i="10"/>
  <c r="F35" i="10"/>
  <c r="G35" i="10"/>
  <c r="H35" i="10"/>
  <c r="I35" i="10"/>
  <c r="J35" i="10"/>
  <c r="D36" i="10"/>
  <c r="E36" i="10"/>
  <c r="F36" i="10"/>
  <c r="G36" i="10"/>
  <c r="H36" i="10"/>
  <c r="I36" i="10"/>
  <c r="J36" i="10"/>
  <c r="D38" i="10"/>
  <c r="E38" i="10"/>
  <c r="F38" i="10"/>
  <c r="G38" i="10"/>
  <c r="H38" i="10"/>
  <c r="I38" i="10"/>
  <c r="J38" i="10"/>
  <c r="D39" i="10"/>
  <c r="E39" i="10"/>
  <c r="F39" i="10"/>
  <c r="G39" i="10"/>
  <c r="H39" i="10"/>
  <c r="I39" i="10"/>
  <c r="J39" i="10"/>
  <c r="D40" i="10"/>
  <c r="E40" i="10"/>
  <c r="F40" i="10"/>
  <c r="G40" i="10"/>
  <c r="H40" i="10"/>
  <c r="I40" i="10"/>
  <c r="J40" i="10"/>
  <c r="D41" i="10"/>
  <c r="E41" i="10"/>
  <c r="D42" i="10"/>
  <c r="D43" i="10"/>
  <c r="D44" i="10"/>
  <c r="E44" i="10"/>
  <c r="F44" i="10"/>
  <c r="D45" i="10"/>
  <c r="D46" i="10"/>
  <c r="F46" i="10"/>
  <c r="D47" i="10"/>
  <c r="D48" i="10"/>
  <c r="G48" i="10"/>
  <c r="B63" i="10"/>
  <c r="G63" i="10"/>
  <c r="B72" i="10"/>
  <c r="G72" i="10"/>
  <c r="B73" i="10"/>
  <c r="G73" i="10"/>
  <c r="G74" i="10"/>
  <c r="G75" i="10"/>
  <c r="G76" i="10"/>
  <c r="B77" i="10"/>
  <c r="G77" i="10"/>
  <c r="B78" i="10"/>
  <c r="G78" i="10"/>
  <c r="B79" i="10"/>
  <c r="G79" i="10"/>
  <c r="B80" i="10"/>
  <c r="G80" i="10"/>
  <c r="B82" i="10"/>
  <c r="G82" i="10"/>
  <c r="B91" i="10"/>
  <c r="G91" i="10"/>
  <c r="B92" i="10"/>
  <c r="G92" i="10"/>
  <c r="G93" i="10"/>
  <c r="G94" i="10"/>
  <c r="G95" i="10"/>
  <c r="B96" i="10"/>
  <c r="G96" i="10"/>
  <c r="B97" i="10"/>
  <c r="G97" i="10"/>
  <c r="B98" i="10"/>
  <c r="G98" i="10"/>
  <c r="B101" i="10"/>
  <c r="G101" i="10"/>
  <c r="B110" i="10"/>
  <c r="G110" i="10"/>
  <c r="B111" i="10"/>
  <c r="G111" i="10"/>
  <c r="G112" i="10"/>
  <c r="G113" i="10"/>
  <c r="G114" i="10"/>
  <c r="B115" i="10"/>
  <c r="G115" i="10"/>
  <c r="B116" i="10"/>
  <c r="G116" i="10"/>
  <c r="B117" i="10"/>
  <c r="G117" i="10"/>
  <c r="B120" i="10"/>
  <c r="G120" i="10"/>
  <c r="B129" i="10"/>
  <c r="G129" i="10"/>
  <c r="B130" i="10"/>
  <c r="G130" i="10"/>
  <c r="G131" i="10"/>
  <c r="G132" i="10"/>
  <c r="G133" i="10"/>
  <c r="B134" i="10"/>
  <c r="G134" i="10"/>
  <c r="B135" i="10"/>
  <c r="G135" i="10"/>
  <c r="B136" i="10"/>
  <c r="G136" i="10"/>
  <c r="B139" i="10"/>
  <c r="G139" i="10"/>
  <c r="B148" i="10"/>
  <c r="G148" i="10"/>
  <c r="B149" i="10"/>
  <c r="G149" i="10"/>
  <c r="G150" i="10"/>
  <c r="G151" i="10"/>
  <c r="G152" i="10"/>
  <c r="B153" i="10"/>
  <c r="G153" i="10"/>
  <c r="B154" i="10"/>
  <c r="G154" i="10"/>
  <c r="B155" i="10"/>
  <c r="G155" i="10"/>
  <c r="B165" i="10"/>
  <c r="G165" i="10"/>
  <c r="B174" i="10"/>
  <c r="G174" i="10"/>
  <c r="B175" i="10"/>
  <c r="G175" i="10"/>
  <c r="G176" i="10"/>
  <c r="G177" i="10"/>
  <c r="G178" i="10"/>
  <c r="B179" i="10"/>
  <c r="G179" i="10"/>
  <c r="B180" i="10"/>
  <c r="G180" i="10"/>
  <c r="B181" i="10"/>
  <c r="G181" i="10"/>
  <c r="B182" i="10"/>
  <c r="G182" i="10"/>
  <c r="B184" i="10"/>
  <c r="G184" i="10"/>
  <c r="B193" i="10"/>
  <c r="G193" i="10"/>
  <c r="B194" i="10"/>
  <c r="G194" i="10"/>
  <c r="G195" i="10"/>
  <c r="G196" i="10"/>
  <c r="G197" i="10"/>
  <c r="B198" i="10"/>
  <c r="G198" i="10"/>
  <c r="B199" i="10"/>
  <c r="G199" i="10"/>
  <c r="B200" i="10"/>
  <c r="G200" i="10"/>
  <c r="B203" i="10"/>
  <c r="G203" i="10"/>
  <c r="B212" i="10"/>
  <c r="G212" i="10"/>
  <c r="B213" i="10"/>
  <c r="G213" i="10"/>
  <c r="G214" i="10"/>
  <c r="G215" i="10"/>
  <c r="G216" i="10"/>
  <c r="B217" i="10"/>
  <c r="G217" i="10"/>
  <c r="B218" i="10"/>
  <c r="G218" i="10"/>
  <c r="B219" i="10"/>
  <c r="G219" i="10"/>
  <c r="B222" i="10"/>
  <c r="G222" i="10"/>
  <c r="B231" i="10"/>
  <c r="G231" i="10"/>
  <c r="B232" i="10"/>
  <c r="G232" i="10"/>
  <c r="G233" i="10"/>
  <c r="G234" i="10"/>
  <c r="G235" i="10"/>
  <c r="B236" i="10"/>
  <c r="G236" i="10"/>
  <c r="B237" i="10"/>
  <c r="G237" i="10"/>
  <c r="B238" i="10"/>
  <c r="G238" i="10"/>
  <c r="B241" i="10"/>
  <c r="G241" i="10"/>
  <c r="B250" i="10"/>
  <c r="G250" i="10"/>
  <c r="B251" i="10"/>
  <c r="G251" i="10"/>
  <c r="G252" i="10"/>
  <c r="G253" i="10"/>
  <c r="G254" i="10"/>
  <c r="B255" i="10"/>
  <c r="G255" i="10"/>
  <c r="B256" i="10"/>
  <c r="G256" i="10"/>
  <c r="B257" i="10"/>
  <c r="G257" i="10"/>
  <c r="B264" i="10"/>
  <c r="G264" i="10"/>
  <c r="B273" i="10"/>
  <c r="G273" i="10"/>
  <c r="B274" i="10"/>
  <c r="B277" i="10"/>
  <c r="G277" i="10"/>
  <c r="B285" i="10"/>
  <c r="G285" i="10"/>
  <c r="B286" i="10"/>
  <c r="B289" i="10"/>
  <c r="G289" i="10"/>
  <c r="B297" i="10"/>
  <c r="G297" i="10"/>
  <c r="B298" i="10"/>
  <c r="B301" i="10"/>
  <c r="G301" i="10"/>
  <c r="B309" i="10"/>
  <c r="G309" i="10"/>
  <c r="B310" i="10"/>
  <c r="B313" i="10"/>
  <c r="G313" i="10"/>
  <c r="B321" i="10"/>
  <c r="G321" i="10"/>
  <c r="B322" i="10"/>
  <c r="B325" i="10"/>
  <c r="G325" i="10"/>
  <c r="D9" i="20"/>
  <c r="G9" i="20"/>
  <c r="G10" i="20"/>
  <c r="D13" i="20"/>
  <c r="D14" i="20"/>
  <c r="F18" i="20"/>
  <c r="G18" i="20"/>
  <c r="F19" i="20"/>
  <c r="G19" i="20"/>
  <c r="D20" i="20"/>
  <c r="D21" i="20"/>
  <c r="J24" i="20"/>
  <c r="K24" i="20"/>
  <c r="L24" i="20"/>
  <c r="J25" i="20"/>
  <c r="K25" i="20"/>
  <c r="L25" i="20"/>
  <c r="J26" i="20"/>
  <c r="K26" i="20"/>
  <c r="L26" i="20"/>
  <c r="J27" i="20"/>
  <c r="K27" i="20"/>
  <c r="L27" i="20"/>
  <c r="J28" i="20"/>
  <c r="K28" i="20"/>
  <c r="L28" i="20"/>
  <c r="Q28" i="20"/>
  <c r="Q29" i="20"/>
  <c r="P30" i="20"/>
  <c r="Q30" i="20"/>
  <c r="L31" i="20"/>
  <c r="M31" i="20"/>
  <c r="L32" i="20"/>
  <c r="M32" i="20"/>
  <c r="P32" i="20"/>
  <c r="L33" i="20"/>
  <c r="C37" i="20"/>
  <c r="E37" i="20"/>
  <c r="F37" i="20"/>
  <c r="G37" i="20"/>
  <c r="H37" i="20"/>
  <c r="I37" i="20"/>
  <c r="J37" i="20"/>
  <c r="K37" i="20"/>
  <c r="D38" i="20"/>
  <c r="E38" i="20"/>
  <c r="F38" i="20"/>
  <c r="G38" i="20"/>
  <c r="H38" i="20"/>
  <c r="I38" i="20"/>
  <c r="J38" i="20"/>
  <c r="K38" i="20"/>
  <c r="C39" i="20"/>
  <c r="G39" i="20"/>
  <c r="H39" i="20"/>
  <c r="D40" i="20"/>
  <c r="F40" i="20"/>
  <c r="G40" i="20"/>
  <c r="D41" i="20"/>
  <c r="F41" i="20"/>
  <c r="G41" i="20"/>
  <c r="F43" i="20"/>
  <c r="G43" i="20"/>
  <c r="I44" i="20"/>
  <c r="B47" i="20"/>
  <c r="I47" i="20"/>
  <c r="B2" i="9"/>
  <c r="C2" i="9"/>
  <c r="D2" i="9"/>
  <c r="B4" i="9"/>
  <c r="C4" i="9"/>
  <c r="D4" i="9"/>
  <c r="B9" i="9"/>
  <c r="D6" i="21"/>
  <c r="J6" i="21"/>
  <c r="J20" i="21"/>
  <c r="D23" i="21"/>
  <c r="J24" i="21"/>
  <c r="D26" i="21"/>
  <c r="D30" i="21"/>
  <c r="C32" i="21"/>
  <c r="D32" i="21"/>
  <c r="C34" i="21"/>
  <c r="D34" i="21"/>
  <c r="C16" i="29"/>
  <c r="C18" i="29"/>
  <c r="B39" i="29"/>
  <c r="C40" i="29"/>
  <c r="C41" i="29"/>
  <c r="E41" i="29"/>
  <c r="D44" i="29"/>
  <c r="E44" i="29"/>
  <c r="F44" i="29"/>
  <c r="G44" i="29"/>
  <c r="H44" i="29"/>
  <c r="C16" i="31"/>
  <c r="C18" i="31"/>
  <c r="B39" i="31"/>
  <c r="C40" i="31"/>
  <c r="C41" i="31"/>
  <c r="E41" i="31"/>
  <c r="D44" i="31"/>
  <c r="E44" i="31"/>
  <c r="F44" i="31"/>
  <c r="G44" i="31"/>
  <c r="H44" i="31"/>
  <c r="C16" i="33"/>
  <c r="C18" i="33"/>
  <c r="B39" i="33"/>
  <c r="C40" i="33"/>
  <c r="C41" i="33"/>
  <c r="E41" i="33"/>
  <c r="D44" i="33"/>
  <c r="E44" i="33"/>
  <c r="F44" i="33"/>
  <c r="G44" i="33"/>
  <c r="H44" i="33"/>
  <c r="C16" i="35"/>
  <c r="C18" i="35"/>
  <c r="B39" i="35"/>
  <c r="C40" i="35"/>
  <c r="C41" i="35"/>
  <c r="E41" i="35"/>
  <c r="D44" i="35"/>
  <c r="E44" i="35"/>
  <c r="F44" i="35"/>
  <c r="G44" i="35"/>
  <c r="H44" i="35"/>
  <c r="C16" i="37"/>
  <c r="C18" i="37"/>
  <c r="C20" i="37"/>
  <c r="B39" i="37"/>
  <c r="C40" i="37"/>
  <c r="C41" i="37"/>
  <c r="E41" i="37"/>
  <c r="D44" i="37"/>
  <c r="E44" i="37"/>
  <c r="F44" i="37"/>
  <c r="G44" i="37"/>
  <c r="H44" i="37"/>
  <c r="B46" i="37"/>
  <c r="C47" i="37"/>
  <c r="C48" i="37"/>
  <c r="E48" i="37"/>
  <c r="D51" i="37"/>
  <c r="E51" i="37"/>
  <c r="F51" i="37"/>
  <c r="G51" i="37"/>
  <c r="H51" i="37"/>
  <c r="C16" i="39"/>
  <c r="C18" i="39"/>
  <c r="B39" i="39"/>
  <c r="C40" i="39"/>
  <c r="C41" i="39"/>
  <c r="E41" i="39"/>
  <c r="D44" i="39"/>
  <c r="E44" i="39"/>
  <c r="F44" i="39"/>
  <c r="G44" i="39"/>
  <c r="H44" i="39"/>
  <c r="B45" i="52"/>
  <c r="F4" i="24"/>
  <c r="G4" i="24"/>
  <c r="G5" i="24"/>
  <c r="G6" i="24"/>
  <c r="G7" i="24"/>
  <c r="F8" i="24"/>
  <c r="G8" i="24"/>
  <c r="F9" i="24"/>
  <c r="G9" i="24"/>
  <c r="F10" i="24"/>
  <c r="G10" i="24"/>
  <c r="H10" i="24"/>
  <c r="D11" i="24"/>
  <c r="E11" i="24"/>
  <c r="F11" i="24"/>
  <c r="G11" i="24"/>
  <c r="H11" i="24"/>
  <c r="D12" i="24"/>
  <c r="F12" i="24"/>
  <c r="H12" i="24"/>
  <c r="F17" i="24"/>
  <c r="G17" i="24"/>
  <c r="G18" i="24"/>
  <c r="G19" i="24"/>
  <c r="F20" i="24"/>
  <c r="G20" i="24"/>
  <c r="F21" i="24"/>
  <c r="G21" i="24"/>
  <c r="H21" i="24"/>
  <c r="E59" i="8"/>
  <c r="E63" i="8"/>
  <c r="E64" i="8"/>
  <c r="E88" i="8"/>
  <c r="F88" i="8"/>
  <c r="F90" i="8"/>
  <c r="G90" i="8"/>
  <c r="F91" i="8"/>
  <c r="G91" i="8"/>
  <c r="F93" i="8"/>
  <c r="D126" i="36"/>
  <c r="H126" i="36"/>
  <c r="H127" i="36"/>
  <c r="H128" i="36"/>
  <c r="D129" i="36"/>
  <c r="H129" i="36"/>
  <c r="D130" i="36"/>
  <c r="H130" i="36"/>
  <c r="H132" i="36"/>
  <c r="H133" i="36"/>
  <c r="H134" i="36"/>
  <c r="F141" i="36"/>
  <c r="F142" i="36"/>
  <c r="F143" i="36"/>
  <c r="F145" i="36"/>
  <c r="F146" i="36"/>
  <c r="D127" i="38"/>
  <c r="H127" i="38"/>
  <c r="H128" i="38"/>
  <c r="H129" i="38"/>
  <c r="D130" i="38"/>
  <c r="H130" i="38"/>
  <c r="D131" i="38"/>
  <c r="H131" i="38"/>
  <c r="H133" i="38"/>
  <c r="H134" i="38"/>
  <c r="H135" i="38"/>
  <c r="F142" i="38"/>
  <c r="F143" i="38"/>
  <c r="F145" i="38"/>
  <c r="CN3" i="49"/>
  <c r="CQ3" i="49" a="1"/>
  <c r="CQ3" i="49"/>
  <c r="CX3" i="49"/>
  <c r="CY3" i="49"/>
  <c r="DB3" i="49"/>
  <c r="DE3" i="49"/>
  <c r="CN4" i="49"/>
  <c r="CU4" i="49"/>
  <c r="CV4" i="49"/>
  <c r="CH5" i="49"/>
  <c r="CN5" i="49"/>
  <c r="CU5" i="49"/>
  <c r="CV5" i="49"/>
  <c r="CH6" i="49"/>
  <c r="CN6" i="49"/>
  <c r="CU6" i="49"/>
  <c r="CV6" i="49"/>
  <c r="CH7" i="49"/>
  <c r="CH14" i="49"/>
  <c r="CH15" i="49"/>
  <c r="CH17" i="49"/>
  <c r="CH19" i="49"/>
  <c r="CI19" i="49"/>
  <c r="CH22" i="49"/>
  <c r="CH24" i="49"/>
  <c r="CI24" i="4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Andreozzi Pasquale</author>
  </authors>
  <commentList>
    <comment ref="E5" authorId="0" shapeId="0" xr:uid="{780AD82F-80A5-4447-917D-20DD4CDFD7A0}">
      <text>
        <r>
          <rPr>
            <b/>
            <sz val="9"/>
            <color indexed="81"/>
            <rFont val="Tahoma"/>
            <family val="2"/>
          </rPr>
          <t xml:space="preserve">Controllo da DSAN Allegato 1a (Fase  Istruttoria) </t>
        </r>
        <r>
          <rPr>
            <sz val="9"/>
            <color indexed="81"/>
            <rFont val="Tahoma"/>
            <family val="2"/>
          </rPr>
          <t xml:space="preserve">
</t>
        </r>
      </text>
    </comment>
    <comment ref="D46" authorId="0" shapeId="0" xr:uid="{2263BB95-C812-477B-AEA4-C58C6FD33180}">
      <text>
        <r>
          <rPr>
            <b/>
            <sz val="9"/>
            <color indexed="81"/>
            <rFont val="Tahoma"/>
            <family val="2"/>
          </rPr>
          <t>da inserire in scheda CUP</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tc={7BCE0D73-9969-4DE1-84A6-EDC51EA1843C}</author>
    <author>tc={7648B647-8651-4AA4-B207-DCC0D348040C}</author>
  </authors>
  <commentList>
    <comment ref="B3" authorId="0" shapeId="0" xr:uid="{7BCE0D73-9969-4DE1-84A6-EDC51EA1843C}">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Inserire i valori riportati nel format domanda seconda fase</t>
      </text>
    </comment>
    <comment ref="B16" authorId="1" shapeId="0" xr:uid="{7648B647-8651-4AA4-B207-DCC0D348040C}">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Inserire i valori riportati nel format domanda seconda fase</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Crebelli Matteo</author>
  </authors>
  <commentList>
    <comment ref="C12" authorId="0" shapeId="0" xr:uid="{3AE84B4B-F3D3-4774-A6AB-D6F130FB208E}">
      <text>
        <r>
          <rPr>
            <b/>
            <sz val="9"/>
            <color indexed="81"/>
            <rFont val="Tahoma"/>
            <family val="2"/>
          </rPr>
          <t>Crebelli Matteo:</t>
        </r>
        <r>
          <rPr>
            <sz val="9"/>
            <color indexed="81"/>
            <rFont val="Tahoma"/>
            <family val="2"/>
          </rPr>
          <t xml:space="preserve">
Eventualmente finanziamento concesso modificando le formule relative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Crebelli Matteo</author>
  </authors>
  <commentList>
    <comment ref="C12" authorId="0" shapeId="0" xr:uid="{4109E2BC-9C20-40D1-ACCD-6D7A97EAE549}">
      <text>
        <r>
          <rPr>
            <b/>
            <sz val="9"/>
            <color indexed="81"/>
            <rFont val="Tahoma"/>
            <family val="2"/>
          </rPr>
          <t>Crebelli Matteo:</t>
        </r>
        <r>
          <rPr>
            <sz val="9"/>
            <color indexed="81"/>
            <rFont val="Tahoma"/>
            <family val="2"/>
          </rPr>
          <t xml:space="preserve">
Eventualmente finanziamento concesso modificando le formule relative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tc={0C60AB32-7E67-482C-B7FE-D0AF09EF3ACA}</author>
  </authors>
  <commentList>
    <comment ref="B8" authorId="0" shapeId="0" xr:uid="{0C60AB32-7E67-482C-B7FE-D0AF09EF3ACA}">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da inserire nella scheda cup/cor</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tc={CB0822BB-F0B7-4AE4-9FA9-309167DCE51B}</author>
    <author>tc={BC8BF001-8566-4416-9C51-D774AEEA0588}</author>
    <author>tc={5042FDA4-2744-4435-853A-55C000BD2D9F}</author>
  </authors>
  <commentList>
    <comment ref="E70" authorId="0" shapeId="0" xr:uid="{CB0822BB-F0B7-4AE4-9FA9-309167DCE51B}">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LIMITATAMENTE AL TUTORAGGIO</t>
      </text>
    </comment>
    <comment ref="E90" authorId="1" shapeId="0" xr:uid="{BC8BF001-8566-4416-9C51-D774AEEA0588}">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da inserire nella scheda cup/cor</t>
      </text>
    </comment>
    <comment ref="F90" authorId="2" shapeId="0" xr:uid="{5042FDA4-2744-4435-853A-55C000BD2D9F}">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da inserire nella scheda cup/cor</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Gianluca Fiorillo</author>
  </authors>
  <commentList>
    <comment ref="C18" authorId="0" shapeId="0" xr:uid="{B96AC91E-A066-4D5A-A3BD-F25EAD58C0A2}">
      <text>
        <r>
          <rPr>
            <sz val="9"/>
            <color indexed="81"/>
            <rFont val="Tahoma"/>
            <family val="2"/>
          </rPr>
          <t>Inserire valore richiesto ad Anticipo</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Fiorillo Gianluca</author>
  </authors>
  <commentList>
    <comment ref="B89" authorId="0" shapeId="0" xr:uid="{5F47BAC8-859A-4CAC-A820-634735950D16}">
      <text>
        <r>
          <rPr>
            <sz val="9"/>
            <color indexed="81"/>
            <rFont val="Tahoma"/>
            <family val="2"/>
          </rPr>
          <t>Inserire un numero di righe pari al numero di pagamenti parziali effettuati a totale copertura del valore della fattura. Es: una fattura di importo complessivo di €20.000 + IVA con un 3 pagamenti (4.000€, 6.000€ e 10.000€) genera 3 righe distinte di 4.000€+IVA, 6.000€+IVA e 10.000€+IVA</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Fiorillo Gianluca</author>
    <author>tc={258DEF94-F340-4754-8B5D-AA95BCF4430B}</author>
  </authors>
  <commentList>
    <comment ref="B85" authorId="0" shapeId="0" xr:uid="{1E1D9158-B788-4339-952B-10A487BE1466}">
      <text>
        <r>
          <rPr>
            <sz val="9"/>
            <color indexed="81"/>
            <rFont val="Tahoma"/>
            <family val="2"/>
          </rPr>
          <t>Inserire un numero di righe pari al numero di pagamenti parziali effettuati a totale copertura del valore della fattura. Es: una fattura di importo complessivo di €20.000 + IVA con un 3 pagamenti (4.000€, 6.000€ e 10.000€) genera 3 righe distinte di 4.000€+IVA, 6.000€+IVA e 10.000€+IVA</t>
        </r>
      </text>
    </comment>
    <comment ref="B99" authorId="0" shapeId="0" xr:uid="{6878FCFB-6868-4AFC-869B-7BE9EAC07B9F}">
      <text>
        <r>
          <rPr>
            <sz val="9"/>
            <color indexed="81"/>
            <rFont val="Tahoma"/>
            <family val="2"/>
          </rPr>
          <t>Inserire un numero di righe pari al numero di pagamenti parziali effettuati a totale copertura del valore della fattura. Es: una fattura di importo complessivo di €20.000 + IVA con un 3 pagamenti (4.000€, 6.000€ e 10.000€) genera 3 righe distinte di 4.000€+IVA, 6.000€+IVA e 10.000€+IVA</t>
        </r>
      </text>
    </comment>
    <comment ref="B102" authorId="1" shapeId="0" xr:uid="{258DEF94-F340-4754-8B5D-AA95BCF4430B}">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Numero fattura e fornitore devono riportare esattamente la stessa dicitura utilizzata in precedenza</t>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Fiorillo Gianluca</author>
    <author>tc={BB06F85D-05E3-47D4-BA50-37DB0297AFD8}</author>
  </authors>
  <commentList>
    <comment ref="B89" authorId="0" shapeId="0" xr:uid="{9A1DBD63-3BE3-4FDC-A834-04DEDE3849A8}">
      <text>
        <r>
          <rPr>
            <sz val="9"/>
            <color indexed="81"/>
            <rFont val="Tahoma"/>
            <family val="2"/>
          </rPr>
          <t>Inserire un numero di righe pari al numero di pagamenti parziali effettuati a totale copertura del valore della fattura. Es: una fattura di importo complessivo di €20.000 + IVA con un 3 pagamenti (4.000€, 6.000€ e 10.000€) genera 3 righe distinte di 4.000€+IVA, 6.000€+IVA e 10.000€+IVA</t>
        </r>
      </text>
    </comment>
    <comment ref="B103" authorId="0" shapeId="0" xr:uid="{225454C5-6D3D-4BC9-ABD1-14842BB5A120}">
      <text>
        <r>
          <rPr>
            <sz val="9"/>
            <color indexed="81"/>
            <rFont val="Tahoma"/>
            <family val="2"/>
          </rPr>
          <t>Inserire un numero di righe pari al numero di pagamenti parziali effettuati a totale copertura del valore della fattura. Es: una fattura di importo complessivo di €20.000 + IVA con un 3 pagamenti (4.000€, 6.000€ e 10.000€) genera 3 righe distinte di 4.000€+IVA, 6.000€+IVA e 10.000€+IVA</t>
        </r>
      </text>
    </comment>
    <comment ref="B106" authorId="1" shapeId="0" xr:uid="{BB06F85D-05E3-47D4-BA50-37DB0297AFD8}">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Numero fattura e fornitore devono riportare esattamente la stessa dicitura utilizzata in precedenza</t>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Fiorillo Gianluca</author>
    <author>tc={48C774ED-758D-4019-B827-F2B3DAE9B3E8}</author>
  </authors>
  <commentList>
    <comment ref="B84" authorId="0" shapeId="0" xr:uid="{6AD9CE83-ADBA-4203-8127-3E0B6DB0413E}">
      <text>
        <r>
          <rPr>
            <sz val="9"/>
            <color indexed="81"/>
            <rFont val="Tahoma"/>
            <family val="2"/>
          </rPr>
          <t>Inserire un numero di righe pari al numero di pagamenti parziali effettuati a totale copertura del valore della fattura. Es: una fattura di importo complessivo di €20.000 + IVA con un 3 pagamenti (4.000€, 6.000€ e 10.000€) genera 3 righe distinte di 4.000€+IVA, 6.000€+IVA e 10.000€+IVA</t>
        </r>
      </text>
    </comment>
    <comment ref="B98" authorId="0" shapeId="0" xr:uid="{0A907CFE-51EE-4F00-955F-312B4DC4C81D}">
      <text>
        <r>
          <rPr>
            <sz val="9"/>
            <color indexed="81"/>
            <rFont val="Tahoma"/>
            <family val="2"/>
          </rPr>
          <t>Inserire un numero di righe pari al numero di pagamenti parziali effettuati a totale copertura del valore della fattura. Es: una fattura di importo complessivo di €20.000 + IVA con un 3 pagamenti (4.000€, 6.000€ e 10.000€) genera 3 righe distinte di 4.000€+IVA, 6.000€+IVA e 10.000€+IVA</t>
        </r>
      </text>
    </comment>
    <comment ref="B101" authorId="1" shapeId="0" xr:uid="{48C774ED-758D-4019-B827-F2B3DAE9B3E8}">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Numero fattura e fornitore devono riportare esattamente la stessa dicitura utilizzata in precedenza</t>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Fiorillo Gianluca</author>
    <author>tc={49559FCE-EBD9-4A0A-989F-E79518497C2A}</author>
  </authors>
  <commentList>
    <comment ref="B86" authorId="0" shapeId="0" xr:uid="{5C1DC780-CBAC-4725-A7BB-0B7B1E4EC917}">
      <text>
        <r>
          <rPr>
            <sz val="9"/>
            <color indexed="81"/>
            <rFont val="Tahoma"/>
            <family val="2"/>
          </rPr>
          <t>Inserire un numero di righe pari al numero di pagamenti parziali effettuati a totale copertura del valore della fattura. Es: una fattura di importo complessivo di €20.000 + IVA con un 3 pagamenti (4.000€, 6.000€ e 10.000€) genera 3 righe distinte di 4.000€+IVA, 6.000€+IVA e 10.000€+IVA</t>
        </r>
      </text>
    </comment>
    <comment ref="B100" authorId="0" shapeId="0" xr:uid="{D426CE8F-9B86-46DF-868C-D036A7D607F8}">
      <text>
        <r>
          <rPr>
            <sz val="9"/>
            <color indexed="81"/>
            <rFont val="Tahoma"/>
            <family val="2"/>
          </rPr>
          <t>Inserire un numero di righe pari al numero di pagamenti parziali effettuati a totale copertura del valore della fattura. Es: una fattura di importo complessivo di €20.000 + IVA con un 3 pagamenti (4.000€, 6.000€ e 10.000€) genera 3 righe distinte di 4.000€+IVA, 6.000€+IVA e 10.000€+IVA</t>
        </r>
      </text>
    </comment>
    <comment ref="B103" authorId="1" shapeId="0" xr:uid="{49559FCE-EBD9-4A0A-989F-E79518497C2A}">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Numero fattura e fornitore devono riportare esattamente la stessa dicitura utilizzata in precedenza</t>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Fiorillo Gianluca</author>
  </authors>
  <commentList>
    <comment ref="B87" authorId="0" shapeId="0" xr:uid="{82AA4511-F586-4183-BF3F-7F0A516DBEF8}">
      <text>
        <r>
          <rPr>
            <sz val="9"/>
            <color indexed="81"/>
            <rFont val="Tahoma"/>
            <family val="2"/>
          </rPr>
          <t>Inserire un numero di righe pari al numero di pagamenti parziali effettuati a totale copertura del valore della fattura. Es: una fattura di importo complessivo di €20.000 + IVA con un 3 pagamenti (4.000€, 6.000€ e 10.000€) genera 3 righe distinte di 4.000€+IVA, 6.000€+IVA e 10.000€+IVA</t>
        </r>
      </text>
    </comment>
    <comment ref="B101" authorId="0" shapeId="0" xr:uid="{0F1828B1-0283-4BDF-9225-EBE08465B121}">
      <text>
        <r>
          <rPr>
            <sz val="9"/>
            <color indexed="81"/>
            <rFont val="Tahoma"/>
            <family val="2"/>
          </rPr>
          <t>Inserire un numero di righe pari al numero di pagamenti parziali effettuati a totale copertura del valore della fattura. Es: una fattura di importo complessivo di €20.000 + IVA con un 3 pagamenti (4.000€, 6.000€ e 10.000€) genera 3 righe distinte di 4.000€+IVA, 6.000€+IVA e 10.000€+IVA</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<sst xmlns="http://schemas.openxmlformats.org/spreadsheetml/2006/main" count="8832" uniqueCount="2348">
  <si>
    <t>NUMERO PROTOCOLLO</t>
  </si>
  <si>
    <t>Capo</t>
  </si>
  <si>
    <t>Capo III</t>
  </si>
  <si>
    <t>CLASSIFICAZIONE ATECO</t>
  </si>
  <si>
    <t>DATA PRESENTAZIONE DOMANDA</t>
  </si>
  <si>
    <t>DATA COSTITUZIONE</t>
  </si>
  <si>
    <t>TOTALE RATA ANNUA FIN.TO PER PROG. (ON ESCLUSO)</t>
  </si>
  <si>
    <t>CAPITALE SOTTOSCRITTO (VISURA)</t>
  </si>
  <si>
    <t>Importo del Fondo perduto richiesto nel format di domanda seconda fase</t>
  </si>
  <si>
    <t>DATI DA PIANO D'IMPRESA</t>
  </si>
  <si>
    <t xml:space="preserve">Realizzazione Piano d'Impresa
(24 mesi) </t>
  </si>
  <si>
    <t xml:space="preserve">Prospetto Fonti-Impieghi </t>
  </si>
  <si>
    <t>TOTALE</t>
  </si>
  <si>
    <t>€</t>
  </si>
  <si>
    <t>Investimenti richiesti alle agevolazioni</t>
  </si>
  <si>
    <t>Altri investimenti non richiesti ad agevolazione</t>
  </si>
  <si>
    <t>Capitale Circolante</t>
  </si>
  <si>
    <t>IVA sugli impieghi</t>
  </si>
  <si>
    <t>Totale Impieghi</t>
  </si>
  <si>
    <t>Mezzi propri:</t>
  </si>
  <si>
    <t>1. Capitale Sociale (solo per soc. da costituire)</t>
  </si>
  <si>
    <t>2. Incremento Capitale Sociale</t>
  </si>
  <si>
    <t>3. Finanziamento Soci infruttifero</t>
  </si>
  <si>
    <t xml:space="preserve">4. Versamenti in c/capitale </t>
  </si>
  <si>
    <t>5. Altre disponibilità di capitale proprio*</t>
  </si>
  <si>
    <t>Finanziamenti extra NITO:</t>
  </si>
  <si>
    <t>1. Finanziamenti bancari a breve termine</t>
  </si>
  <si>
    <t>2. Finanziamenti bancari a medio-lungo termine</t>
  </si>
  <si>
    <t>3. Altre disponibilità (specificare)</t>
  </si>
  <si>
    <t>Finanziamento NITO</t>
  </si>
  <si>
    <t>1. Finanziamento agevolato</t>
  </si>
  <si>
    <t>2. Contributo a fondo perduto</t>
  </si>
  <si>
    <t>Totale Fonti</t>
  </si>
  <si>
    <t>CASO - CAPO II</t>
  </si>
  <si>
    <t>CAPO III</t>
  </si>
  <si>
    <t>IPOTESI DI ANNO A REGIME 
(MAX 5 ANNI - 2 realizzazione investimento)</t>
  </si>
  <si>
    <t>SOCIETA'</t>
  </si>
  <si>
    <t>STATO PATRIMONIALE ATTIVO</t>
  </si>
  <si>
    <t>CONTO ECONOMICO</t>
  </si>
  <si>
    <t>A) Crediti verso soci per versamenti ancora dovuti</t>
  </si>
  <si>
    <t>A) Valore della produzione</t>
  </si>
  <si>
    <t>B) Immobilizzazioni, con separata indicazione di quelle concesse in locazione finanziaria</t>
  </si>
  <si>
    <t xml:space="preserve">    1) Ricavi delle vendite e delle prestazioni</t>
  </si>
  <si>
    <t xml:space="preserve">    I. Immateriali</t>
  </si>
  <si>
    <r>
      <t xml:space="preserve">    2) 3) 4) Variazione rimanenze e lavori (</t>
    </r>
    <r>
      <rPr>
        <i/>
        <sz val="9"/>
        <color rgb="FF000000"/>
        <rFont val="Calibri"/>
        <family val="2"/>
      </rPr>
      <t>prodotti che si trovano in magazzino pronti alla vendita</t>
    </r>
    <r>
      <rPr>
        <sz val="9"/>
        <color indexed="8"/>
        <rFont val="Calibri"/>
        <family val="2"/>
      </rPr>
      <t>), immobilizzazioni per lavori interni</t>
    </r>
  </si>
  <si>
    <t xml:space="preserve">        1) Costi di impianto e di ampliamento</t>
  </si>
  <si>
    <t xml:space="preserve">    5) Altri ricavi e proventi:</t>
  </si>
  <si>
    <t xml:space="preserve">        2) Costi di ricerca, di sviluppo e di pubblicità</t>
  </si>
  <si>
    <t>B) Costi della produzione</t>
  </si>
  <si>
    <t xml:space="preserve">        3) Diritti di brevetto industriale e di utilizzo di opere dell'ingegno</t>
  </si>
  <si>
    <t xml:space="preserve">    6) Acquisti materie prime, sussidiarie, di consumo e di merci</t>
  </si>
  <si>
    <t xml:space="preserve">        4) Concessioni, licenze, marchi e diritti simili</t>
  </si>
  <si>
    <t xml:space="preserve">    7) Spese per prestazioni di servizi</t>
  </si>
  <si>
    <t xml:space="preserve">        5) Avviamento</t>
  </si>
  <si>
    <t xml:space="preserve">    8) Spese per godimento di beni di terzi</t>
  </si>
  <si>
    <t xml:space="preserve">        6) Immobilizzazioni immateriali in corso e acconti</t>
  </si>
  <si>
    <t xml:space="preserve">    9) Costi del personale</t>
  </si>
  <si>
    <t xml:space="preserve">        7) Altre</t>
  </si>
  <si>
    <t xml:space="preserve">    10) Ammortamenti e svalutazioni</t>
  </si>
  <si>
    <t xml:space="preserve">    II. Materiali</t>
  </si>
  <si>
    <r>
      <t xml:space="preserve">    11) Variazioni rimanenze </t>
    </r>
    <r>
      <rPr>
        <i/>
        <sz val="8"/>
        <color rgb="FF000000"/>
        <rFont val="Arial"/>
        <family val="2"/>
      </rPr>
      <t>(materie prime nel ciclo di lavorazione)</t>
    </r>
  </si>
  <si>
    <t xml:space="preserve">        1) Terreni e fabbricati</t>
  </si>
  <si>
    <t xml:space="preserve">    12) 13) Accantonamenti</t>
  </si>
  <si>
    <t xml:space="preserve">        2) Impianti e macchinario</t>
  </si>
  <si>
    <t xml:space="preserve">    14)  Oneri gestione</t>
  </si>
  <si>
    <t xml:space="preserve">        3) Attrezzature industriali e commerciali</t>
  </si>
  <si>
    <t>Differenza tra Valore e Costo della Produzione</t>
  </si>
  <si>
    <t xml:space="preserve">        4) Altri beni</t>
  </si>
  <si>
    <t>C) Proventi e oneri finanziari</t>
  </si>
  <si>
    <t xml:space="preserve">        5) Immobilizzazioni in corso e acconti</t>
  </si>
  <si>
    <t xml:space="preserve">    15) 16) Proventi</t>
  </si>
  <si>
    <t xml:space="preserve">    III. Finanziarie</t>
  </si>
  <si>
    <t xml:space="preserve">    17) Interessi e altri oneri finanziari:</t>
  </si>
  <si>
    <t xml:space="preserve">        1) Partecipazioni in:</t>
  </si>
  <si>
    <t>D) Rettifiche di valore di attività finanziarie</t>
  </si>
  <si>
    <t xml:space="preserve">        2) Crediti</t>
  </si>
  <si>
    <t>Risultato prima delle imposte</t>
  </si>
  <si>
    <t xml:space="preserve">                - entro 12 mesi</t>
  </si>
  <si>
    <t>E) Imposte sul reddito dell'esercizio</t>
  </si>
  <si>
    <t xml:space="preserve">                - oltre 12 mesi</t>
  </si>
  <si>
    <t>F) Utile (Perdita) dell'esercizio</t>
  </si>
  <si>
    <t xml:space="preserve">        3) 4) Altri</t>
  </si>
  <si>
    <t>C) Attivo circolante</t>
  </si>
  <si>
    <t xml:space="preserve">    I. Rimanenze</t>
  </si>
  <si>
    <t xml:space="preserve">    Immobilizzazioni materiali destinate alla vendita</t>
  </si>
  <si>
    <t>Dati ultimo bilancio (antecedente la domanda)</t>
  </si>
  <si>
    <t>Anno presentazione domanda</t>
  </si>
  <si>
    <t>Anno 1° realizzazione investimento</t>
  </si>
  <si>
    <t>Anno 2° realizzazione investimento</t>
  </si>
  <si>
    <t xml:space="preserve">    II. Crediti</t>
  </si>
  <si>
    <t>Prospetto flussi di cassa (indiretto)</t>
  </si>
  <si>
    <t xml:space="preserve">            - entro esercizio successivo</t>
  </si>
  <si>
    <t>Utile (Perdita) d’esercizio</t>
  </si>
  <si>
    <t xml:space="preserve">            - oltre esercizio successivo</t>
  </si>
  <si>
    <t>Ammortamento e Svalutazioni</t>
  </si>
  <si>
    <t xml:space="preserve">    III. Attività finanziarie che non costituiscono immobilizzazioni</t>
  </si>
  <si>
    <t xml:space="preserve">Accantonamenti </t>
  </si>
  <si>
    <t xml:space="preserve">    IV. Disponibilità liquide</t>
  </si>
  <si>
    <t>Cash flow Operativo</t>
  </si>
  <si>
    <t>D) Ratei e risconti attivi</t>
  </si>
  <si>
    <t>Investimenti (Capitalizzabili)</t>
  </si>
  <si>
    <t>STATO PATRIMONIALE PASSIVO</t>
  </si>
  <si>
    <t>Cash Flow Investimenti</t>
  </si>
  <si>
    <t>A) Patrimonio netto</t>
  </si>
  <si>
    <t>Finanziamenti:</t>
  </si>
  <si>
    <t xml:space="preserve">    I. Capitale</t>
  </si>
  <si>
    <t>Bancari breve termine</t>
  </si>
  <si>
    <t xml:space="preserve">    II. III. IV. V. VII. Riserve</t>
  </si>
  <si>
    <t>Bancari medio-lungo termine</t>
  </si>
  <si>
    <t>B) Fondi per rischi e oneri</t>
  </si>
  <si>
    <t>Soci (versamenti)</t>
  </si>
  <si>
    <t>C) Trattamento fine rapporto di lavoro subordinato</t>
  </si>
  <si>
    <t>NIT0 mutuo</t>
  </si>
  <si>
    <t>D) Debiti</t>
  </si>
  <si>
    <t>NIT0 fondo perduto</t>
  </si>
  <si>
    <t xml:space="preserve">    4) Debiti verso banche</t>
  </si>
  <si>
    <t>Rimborso finanziamenti (capitale + interessi - valore assoluto)</t>
  </si>
  <si>
    <t xml:space="preserve">        -debiti entro 12 mesi</t>
  </si>
  <si>
    <t>Rimborso mutuo agevolato NIT0</t>
  </si>
  <si>
    <t xml:space="preserve">        -debiti oltre 12 mesi</t>
  </si>
  <si>
    <t>Aumenti di capitale (versamenti)</t>
  </si>
  <si>
    <t xml:space="preserve">    6) Acconti</t>
  </si>
  <si>
    <t>Cash Flow Finanziamento</t>
  </si>
  <si>
    <t xml:space="preserve">        -acconti entro 12 mesi</t>
  </si>
  <si>
    <t>Cassa e Banche (inizio periodo)</t>
  </si>
  <si>
    <t xml:space="preserve">        -acconti oltre 12 mesi</t>
  </si>
  <si>
    <t>Cassa e Banche (fine periodo)</t>
  </si>
  <si>
    <t xml:space="preserve">    12) Debiti tributari</t>
  </si>
  <si>
    <t xml:space="preserve">        -debiti trib. entro 12 mesi</t>
  </si>
  <si>
    <t xml:space="preserve">        -debiti trib. oltre 12 mesi</t>
  </si>
  <si>
    <t>Altri debiti</t>
  </si>
  <si>
    <t xml:space="preserve">        -altri deb. entro 12 mesi</t>
  </si>
  <si>
    <t xml:space="preserve">        -altri deb oltre 12 mesi</t>
  </si>
  <si>
    <t>E) Ratei e risconti</t>
  </si>
  <si>
    <t>IMPATTO</t>
  </si>
  <si>
    <t>Solidità attuale dell'impresa proponente</t>
  </si>
  <si>
    <t>+++</t>
  </si>
  <si>
    <t/>
  </si>
  <si>
    <t>++</t>
  </si>
  <si>
    <t>+</t>
  </si>
  <si>
    <t>Il patrimonio netto dell'impresa calcolato sulla base dei dati forniti è maggiore di zero</t>
  </si>
  <si>
    <t>L'impresa proponente si configura come una società neo costituita  e pertanto la solidità patrimoniale della stessa non è rappresentativa.</t>
  </si>
  <si>
    <t>Il progetto è presentato da una impresa non costituita che non consente di determinare il patrimonio netto</t>
  </si>
  <si>
    <t>-</t>
  </si>
  <si>
    <t>Il patrimonio netto dell'impresa calcolato sulla base dei dati forniti è uguale a zero</t>
  </si>
  <si>
    <t>--</t>
  </si>
  <si>
    <t>Il patrimonio netto dell'impresa calcolato sulla base dei dati forniti è minore di zero</t>
  </si>
  <si>
    <t>I principali indicatori economico finanziari calcolati sulla base dei dati storici forniti mostrano una significativa solidità di impresa</t>
  </si>
  <si>
    <t>I principali indicatori economico finanziari calcolati sulla base dei dati storici forniti mostrano una buona solidità di impresa</t>
  </si>
  <si>
    <t>I principali indicatori economico finanziari calcolati sulla base dei dati storici forniti mostrano una discreta solidità di impresa</t>
  </si>
  <si>
    <t>I principali indicatori economico finanziari calcolati sulla base dei dati storici forniti mostrano una sufficiente solidità di impresa</t>
  </si>
  <si>
    <t>---</t>
  </si>
  <si>
    <t>Capacità dell'iniziativa di restituire il finanziamento agevolato e gli altri finanziamenti</t>
  </si>
  <si>
    <t>Analisi delle tipologie delle fonti finanziarie e loro coerenza con il progetto</t>
  </si>
  <si>
    <t>Aumento di capitale sociale con capienza dimostrata</t>
  </si>
  <si>
    <t>Parziale aumento di capitale sociale (almeno 60%) con capienza dimostrata e con altre forme di finanziamento (mezzi propri, di terzi e cash flow già generato dall’impresa)</t>
  </si>
  <si>
    <t>Parziale aumento di capitale sociale (almeno 50%) con capienza dimostrata e con altre forme di finanziamento (mezzi propri, di terzi e cash flow di progetto)</t>
  </si>
  <si>
    <t>Parziale aumento di capitale sociale (almeno 30%) con capienza dimostrata e con altre forme di finanziamento (mezzi propri e di terzi)</t>
  </si>
  <si>
    <t>Finanziamento con mezzi propri ma con prevalenti futuri impegni di aumento di capitale sociale e/o versamenti soci (versamenti a capitale sociale inferiori 30%)</t>
  </si>
  <si>
    <t>Finanziamento solo a mezzo debito coerente con la durata dell’impiego</t>
  </si>
  <si>
    <t>Finanziamento a mezzo debito e con cash flow generato dall’attività esistente a copertura di fabbisogno non coperto (non superiore al 30%) (CAPO III)</t>
  </si>
  <si>
    <r>
      <t xml:space="preserve">Le fonti indicate sono sufficienti a coprire il totale degli impieghi previsti. </t>
    </r>
    <r>
      <rPr>
        <b/>
        <sz val="11"/>
        <color theme="1"/>
        <rFont val="Segoe UI"/>
        <family val="2"/>
      </rPr>
      <t>(Verificare l'eventuale presenza e la coerenza di altre disponibilità di finanziamenti extra NITO e di capitale proprio)</t>
    </r>
  </si>
  <si>
    <r>
      <t xml:space="preserve">Finanziamento sbilanciato tra fonti ed impieghi. </t>
    </r>
    <r>
      <rPr>
        <b/>
        <sz val="11"/>
        <color theme="1"/>
        <rFont val="Segoe UI"/>
        <family val="2"/>
      </rPr>
      <t>(Rientra in tale fattispecie il caso in cui il finanziamento bancario a breve è superiore all'IVA)</t>
    </r>
  </si>
  <si>
    <t>Finanziamento con ipotesi di cash flow derivante dal solo progetto</t>
  </si>
  <si>
    <t>Informazioni non complete o inesatte</t>
  </si>
  <si>
    <t>Mancata indicazione di forme di finanziamento</t>
  </si>
  <si>
    <t>ADEGUARE FORMULE A CASI DENOMINATORE = O</t>
  </si>
  <si>
    <t>INDICATORE</t>
  </si>
  <si>
    <t>RISULTATO</t>
  </si>
  <si>
    <t>Crest</t>
  </si>
  <si>
    <t>ONERI FINANZIARI / RICAVI %</t>
  </si>
  <si>
    <t>PATRIMONIO NETTO / DEBITI TOTALI %</t>
  </si>
  <si>
    <t>LIQUIDITA' A BREVE TERMINE (ATTIVITA' A BREVE/PASSIVITA' BREVE) %</t>
  </si>
  <si>
    <t>CASH FLOW / ATTIVO %</t>
  </si>
  <si>
    <t>ANNO t-3</t>
  </si>
  <si>
    <t>ANNO t-2</t>
  </si>
  <si>
    <t>ANNO t-1</t>
  </si>
  <si>
    <t>PONDERATO</t>
  </si>
  <si>
    <t>PUNTEGGIO</t>
  </si>
  <si>
    <t>minore 0,6 maggiore o = 0,4</t>
  </si>
  <si>
    <t>PROG</t>
  </si>
  <si>
    <t>SETTORE</t>
  </si>
  <si>
    <t>Descr.Settore</t>
  </si>
  <si>
    <t>&lt;</t>
  </si>
  <si>
    <t>&gt;</t>
  </si>
  <si>
    <t>STORICO</t>
  </si>
  <si>
    <t>REGIME</t>
  </si>
  <si>
    <t>PONDERAZIONE</t>
  </si>
  <si>
    <t>CREST CAPO II</t>
  </si>
  <si>
    <t>minore di 1 e 0,8 escluso</t>
  </si>
  <si>
    <t>limite incluso</t>
  </si>
  <si>
    <t>S01</t>
  </si>
  <si>
    <t>(A) AGRICOLTURA SILVICOLTURA E PESCA</t>
  </si>
  <si>
    <t>VALORE</t>
  </si>
  <si>
    <t>PUNTEGGI</t>
  </si>
  <si>
    <t>S02</t>
  </si>
  <si>
    <t>(B) ESTRAZIONE + (C) MANIFATTURA + (D) PROD.ENERGIA/GAS</t>
  </si>
  <si>
    <t>risultato</t>
  </si>
  <si>
    <t>S03</t>
  </si>
  <si>
    <t>(E) FORN. ACQUA RETI FOGNARIE RIFIUTI + (D) TRASM. ENERGIA/GAS</t>
  </si>
  <si>
    <t>VETTORE SCELTA</t>
  </si>
  <si>
    <t>CREST IMPRESA</t>
  </si>
  <si>
    <t>S04</t>
  </si>
  <si>
    <t>(F41) COSTRUZIONE DI EDIFICI</t>
  </si>
  <si>
    <t>&gt;1 e &lt;=1,1</t>
  </si>
  <si>
    <t>S05</t>
  </si>
  <si>
    <t>(F42) INGEGNERIA CIVILE + (F43) COSTR. SPECIALIZZATE</t>
  </si>
  <si>
    <t>Crest azienda</t>
  </si>
  <si>
    <t>S06</t>
  </si>
  <si>
    <t>(G45) COMM INGROSSO e DETT AUTOVEICOLI + (G46) COMM INGROSSO + (D) DISTRIBUZIONE ENERGIA E GAS</t>
  </si>
  <si>
    <t>Crest progetto</t>
  </si>
  <si>
    <t>S07</t>
  </si>
  <si>
    <t>(G47) COMM DETTAGLIO + (I56) BAR e RISTORANTI</t>
  </si>
  <si>
    <t>CAPO II PATRIMONIO NETTO</t>
  </si>
  <si>
    <t>S08</t>
  </si>
  <si>
    <t>(H) TRASPORTO E MAGAZZINAGGIO + (I55) HOTEL</t>
  </si>
  <si>
    <t>S09</t>
  </si>
  <si>
    <t>(J,M,N) SERVIZI ALLE IMPRESE</t>
  </si>
  <si>
    <t>S10</t>
  </si>
  <si>
    <t>(P,Q,R,S) SERVIZI ALLE PERSONE</t>
  </si>
  <si>
    <t>(MEZZI PROPRI + DEB a M/L)/ Immobilizzazioni</t>
  </si>
  <si>
    <t>MEZZI PROPRI 
/ TOT PASSIVO</t>
  </si>
  <si>
    <t>INDEB.TO FIN NETTO
/ MOL</t>
  </si>
  <si>
    <t>MOL / VAL. PROD</t>
  </si>
  <si>
    <t>Capo II e Capo III</t>
  </si>
  <si>
    <t>ATTIVITA' VALUTATA</t>
  </si>
  <si>
    <t>Soglie a partire da incluso</t>
  </si>
  <si>
    <t>Punteggio</t>
  </si>
  <si>
    <t>Soglia</t>
  </si>
  <si>
    <t xml:space="preserve">Coperture </t>
  </si>
  <si>
    <t>Condizione1</t>
  </si>
  <si>
    <t>Condizione2</t>
  </si>
  <si>
    <t>GRUPPO</t>
  </si>
  <si>
    <t>CATEGORIA</t>
  </si>
  <si>
    <t>Indici Settoriali</t>
  </si>
  <si>
    <t>A</t>
  </si>
  <si>
    <t>01</t>
  </si>
  <si>
    <t>02</t>
  </si>
  <si>
    <t>03</t>
  </si>
  <si>
    <t>04</t>
  </si>
  <si>
    <t># non utilizzato</t>
  </si>
  <si>
    <t>B</t>
  </si>
  <si>
    <t>05</t>
  </si>
  <si>
    <t>06</t>
  </si>
  <si>
    <t>07</t>
  </si>
  <si>
    <t>08</t>
  </si>
  <si>
    <t>Valore risultate dai dati forniti</t>
  </si>
  <si>
    <t>anno t-3</t>
  </si>
  <si>
    <t>09</t>
  </si>
  <si>
    <t>anno t-2</t>
  </si>
  <si>
    <t>Anno a regime</t>
  </si>
  <si>
    <t>C</t>
  </si>
  <si>
    <t>10</t>
  </si>
  <si>
    <t>anno t-1</t>
  </si>
  <si>
    <t xml:space="preserve">Valore </t>
  </si>
  <si>
    <t>11</t>
  </si>
  <si>
    <t>12</t>
  </si>
  <si>
    <t>Punteggio pesato</t>
  </si>
  <si>
    <t>13</t>
  </si>
  <si>
    <t>14</t>
  </si>
  <si>
    <t>MEDIA</t>
  </si>
  <si>
    <t>15</t>
  </si>
  <si>
    <t>Valore effettivo</t>
  </si>
  <si>
    <t>16</t>
  </si>
  <si>
    <t>17</t>
  </si>
  <si>
    <t>18</t>
  </si>
  <si>
    <t>19</t>
  </si>
  <si>
    <t>20</t>
  </si>
  <si>
    <t>21</t>
  </si>
  <si>
    <t>Requisito accoglibilità come da GBER Art. 2 comma 18.</t>
  </si>
  <si>
    <t>22</t>
  </si>
  <si>
    <t>23</t>
  </si>
  <si>
    <t>24</t>
  </si>
  <si>
    <t>25</t>
  </si>
  <si>
    <t>26</t>
  </si>
  <si>
    <t>27</t>
  </si>
  <si>
    <t>28</t>
  </si>
  <si>
    <t>29</t>
  </si>
  <si>
    <t>30</t>
  </si>
  <si>
    <t>31</t>
  </si>
  <si>
    <t>32</t>
  </si>
  <si>
    <t>33</t>
  </si>
  <si>
    <t>34</t>
  </si>
  <si>
    <t>D</t>
  </si>
  <si>
    <t>35</t>
  </si>
  <si>
    <t>E</t>
  </si>
  <si>
    <t>36</t>
  </si>
  <si>
    <t>37</t>
  </si>
  <si>
    <t>38</t>
  </si>
  <si>
    <t>39</t>
  </si>
  <si>
    <t>40</t>
  </si>
  <si>
    <t>F</t>
  </si>
  <si>
    <t>41</t>
  </si>
  <si>
    <t>42</t>
  </si>
  <si>
    <t>43</t>
  </si>
  <si>
    <t>44</t>
  </si>
  <si>
    <t>G</t>
  </si>
  <si>
    <t>45</t>
  </si>
  <si>
    <t>46</t>
  </si>
  <si>
    <t>47</t>
  </si>
  <si>
    <t>48</t>
  </si>
  <si>
    <t>H</t>
  </si>
  <si>
    <t>49</t>
  </si>
  <si>
    <t>50</t>
  </si>
  <si>
    <t>51</t>
  </si>
  <si>
    <t>52</t>
  </si>
  <si>
    <t>53</t>
  </si>
  <si>
    <t>54</t>
  </si>
  <si>
    <t>I</t>
  </si>
  <si>
    <t>55</t>
  </si>
  <si>
    <t>56</t>
  </si>
  <si>
    <t>57</t>
  </si>
  <si>
    <t>J</t>
  </si>
  <si>
    <t>58</t>
  </si>
  <si>
    <t>59</t>
  </si>
  <si>
    <t>60</t>
  </si>
  <si>
    <t>61</t>
  </si>
  <si>
    <t>62</t>
  </si>
  <si>
    <t>63</t>
  </si>
  <si>
    <t>K</t>
  </si>
  <si>
    <t>64</t>
  </si>
  <si>
    <t>non applicabile</t>
  </si>
  <si>
    <t>65</t>
  </si>
  <si>
    <t>66</t>
  </si>
  <si>
    <t>67</t>
  </si>
  <si>
    <t>L</t>
  </si>
  <si>
    <t>68</t>
  </si>
  <si>
    <t>M</t>
  </si>
  <si>
    <t>69</t>
  </si>
  <si>
    <t>70</t>
  </si>
  <si>
    <t>71</t>
  </si>
  <si>
    <t>72</t>
  </si>
  <si>
    <t>73</t>
  </si>
  <si>
    <t>74</t>
  </si>
  <si>
    <t>75</t>
  </si>
  <si>
    <t>N</t>
  </si>
  <si>
    <t>76</t>
  </si>
  <si>
    <t>77</t>
  </si>
  <si>
    <t>78</t>
  </si>
  <si>
    <t>79</t>
  </si>
  <si>
    <t>80</t>
  </si>
  <si>
    <t>81</t>
  </si>
  <si>
    <t>82</t>
  </si>
  <si>
    <t>83</t>
  </si>
  <si>
    <t>O</t>
  </si>
  <si>
    <t>84</t>
  </si>
  <si>
    <t>P</t>
  </si>
  <si>
    <t>85</t>
  </si>
  <si>
    <t>Q</t>
  </si>
  <si>
    <t>86</t>
  </si>
  <si>
    <t>87</t>
  </si>
  <si>
    <t>88</t>
  </si>
  <si>
    <t>89</t>
  </si>
  <si>
    <t>R</t>
  </si>
  <si>
    <t>90</t>
  </si>
  <si>
    <t>91</t>
  </si>
  <si>
    <t>92</t>
  </si>
  <si>
    <t>93</t>
  </si>
  <si>
    <t>S</t>
  </si>
  <si>
    <t>94</t>
  </si>
  <si>
    <t>95</t>
  </si>
  <si>
    <t>96</t>
  </si>
  <si>
    <t>T</t>
  </si>
  <si>
    <t>97</t>
  </si>
  <si>
    <t>98</t>
  </si>
  <si>
    <t>U</t>
  </si>
  <si>
    <t>99</t>
  </si>
  <si>
    <t>Campione AIDA</t>
  </si>
  <si>
    <t>MOL/Fatturato di settore</t>
  </si>
  <si>
    <t>MOL Adjusted</t>
  </si>
  <si>
    <t>CREST Adjusted</t>
  </si>
  <si>
    <t>Azienda</t>
  </si>
  <si>
    <t>MOL</t>
  </si>
  <si>
    <t>CAPO II</t>
  </si>
  <si>
    <t>MOL% su VdP</t>
  </si>
  <si>
    <t>No bilancio</t>
  </si>
  <si>
    <t>Bilancio</t>
  </si>
  <si>
    <t>Incidenza principali costi sul Valore della produzione:</t>
  </si>
  <si>
    <t>Prg</t>
  </si>
  <si>
    <t>Storico</t>
  </si>
  <si>
    <t>Acquisti materie prime, sussidiarie, di consumo e di merci</t>
  </si>
  <si>
    <t>D2</t>
  </si>
  <si>
    <t>Capacità restitutoria</t>
  </si>
  <si>
    <t>Spese per prestazioni di servizi</t>
  </si>
  <si>
    <t>Solidità patrimoniale</t>
  </si>
  <si>
    <t>Spese per godimento di beni di terzi</t>
  </si>
  <si>
    <t>Solidità indicatori storici</t>
  </si>
  <si>
    <t xml:space="preserve"> Costi del personale</t>
  </si>
  <si>
    <t>D3</t>
  </si>
  <si>
    <t>Fonti finanziarie</t>
  </si>
  <si>
    <t>Progetto</t>
  </si>
  <si>
    <t>acc.</t>
  </si>
  <si>
    <t>GBER</t>
  </si>
  <si>
    <t>OPZIONALI</t>
  </si>
  <si>
    <t>MOL %</t>
  </si>
  <si>
    <t>I principali indicatori economico finanziari calcolati sulla base dei dati forniti storici mostrano una buona solidità di impresa</t>
  </si>
  <si>
    <t>CNDCEC</t>
  </si>
  <si>
    <t xml:space="preserve">CASISTICA </t>
  </si>
  <si>
    <t>impresa
 (estremo superiore incluso)</t>
  </si>
  <si>
    <t>(MEZZI PROPRI + DEB a M/L ) / Immobilizzazioni</t>
  </si>
  <si>
    <t>=</t>
  </si>
  <si>
    <t>Tempo</t>
  </si>
  <si>
    <t>Categoria</t>
  </si>
  <si>
    <t>Indicatore</t>
  </si>
  <si>
    <t>MAX teorico</t>
  </si>
  <si>
    <t>PREVISIONALE</t>
  </si>
  <si>
    <t>CREST</t>
  </si>
  <si>
    <t>Solidità</t>
  </si>
  <si>
    <t>SOLIDITA' PAT. NET.</t>
  </si>
  <si>
    <t>MEZZI PROPRI / TOT PASSIVO</t>
  </si>
  <si>
    <t>INDEB.TO FIN NETTO/ MOL</t>
  </si>
  <si>
    <t>PROSPETTICO</t>
  </si>
  <si>
    <t>Coperture</t>
  </si>
  <si>
    <t>FONTI FINANZIARIE</t>
  </si>
  <si>
    <t>Probabilità default</t>
  </si>
  <si>
    <r>
      <t xml:space="preserve">Le fonti indicate sono sufficienti a coprire il totale degli impieghi previsti.  </t>
    </r>
    <r>
      <rPr>
        <b/>
        <sz val="9"/>
        <color theme="1"/>
        <rFont val="Segoe UI"/>
        <family val="2"/>
      </rPr>
      <t>(Verificare l'eventuale presenza e la coerenza di altre disponibilità di finanziamenti extra NITO e di capitale proprio)</t>
    </r>
  </si>
  <si>
    <r>
      <t xml:space="preserve">Finanziamento sbilanciato tra fonti ed impieghi </t>
    </r>
    <r>
      <rPr>
        <b/>
        <sz val="9"/>
        <color theme="1"/>
        <rFont val="Segoe UI"/>
        <family val="2"/>
      </rPr>
      <t>(Rientra in tale fattispecie il caso in cui il finanziamento bancario a breve è superiore all'IVA)</t>
    </r>
  </si>
  <si>
    <t>Investimenti non richiesti alle agevolazioni</t>
  </si>
  <si>
    <t>PER LE CAPO III INDICARE LA MEDIA DI D1 (PRIMI DUE RICBLOCK SU RICAVI E COSTI)</t>
  </si>
  <si>
    <t>Rimborso finanziamenti (capitale + interessi ) in valore assoluto</t>
  </si>
  <si>
    <t>massimale de minimis</t>
  </si>
  <si>
    <t>Input finanziari</t>
  </si>
  <si>
    <t>campi da compilare</t>
  </si>
  <si>
    <t>nota</t>
  </si>
  <si>
    <t>Campi da valorizzare</t>
  </si>
  <si>
    <t>Fondo perduto del progetto</t>
  </si>
  <si>
    <t>valore in %</t>
  </si>
  <si>
    <t>Q. FONDO PERD</t>
  </si>
  <si>
    <t>SI</t>
  </si>
  <si>
    <t>De Minimis Progetto</t>
  </si>
  <si>
    <t xml:space="preserve">Finanziamento </t>
  </si>
  <si>
    <t>Contributo c/impianti % invest. NETTO SUOLO</t>
  </si>
  <si>
    <t>Fondo Perduto</t>
  </si>
  <si>
    <t>Mutuo 1 in % dell' investimento</t>
  </si>
  <si>
    <t>Altri Contributi del Beneficiario</t>
  </si>
  <si>
    <t>Finanziamento da restituire</t>
  </si>
  <si>
    <t>Mutuo 2 in % dell' investimento</t>
  </si>
  <si>
    <t>Contributo in conto interessi (tasso da abbuonare)</t>
  </si>
  <si>
    <t xml:space="preserve">Mutuo terzi </t>
  </si>
  <si>
    <t>valore in Euro</t>
  </si>
  <si>
    <t>Ammortamento mutuo 1</t>
  </si>
  <si>
    <t>n. anni</t>
  </si>
  <si>
    <t>Tutoring</t>
  </si>
  <si>
    <t>Preammortamento mutuo 1</t>
  </si>
  <si>
    <t>Agevolazioni riconoscibili</t>
  </si>
  <si>
    <t>VERIFICA</t>
  </si>
  <si>
    <t>Periodi mutuo 1</t>
  </si>
  <si>
    <t>n. rate per anno</t>
  </si>
  <si>
    <t>FP</t>
  </si>
  <si>
    <t>Ammortamento mutuo 2</t>
  </si>
  <si>
    <t>MA</t>
  </si>
  <si>
    <t>Preammortamento mutuo 2</t>
  </si>
  <si>
    <t>Periodi mutuo 2</t>
  </si>
  <si>
    <t>Ammortamento mutuo terzi</t>
  </si>
  <si>
    <t>tasso ue</t>
  </si>
  <si>
    <t>Preammortamento mutuo terzi</t>
  </si>
  <si>
    <t>spread rating</t>
  </si>
  <si>
    <t>punti base</t>
  </si>
  <si>
    <t>Periodi mutuo terzi</t>
  </si>
  <si>
    <t xml:space="preserve">ESL max concedibile nell'area </t>
  </si>
  <si>
    <t>Tasso attualizzazione / riferimento UE (*)</t>
  </si>
  <si>
    <t>Tasso base per l'agevolato</t>
  </si>
  <si>
    <t>tasso agevolato su base annua</t>
  </si>
  <si>
    <t>% del tasso base applicata ai mutui agevolati</t>
  </si>
  <si>
    <t>Ritenuta su erogazioni contributo</t>
  </si>
  <si>
    <t>Modalità rimborso mutui agevolati</t>
  </si>
  <si>
    <t>(a) rata costante
(b) quota capitale costante</t>
  </si>
  <si>
    <t>a</t>
  </si>
  <si>
    <t>Modalità rimborso mutuo terzi</t>
  </si>
  <si>
    <t>ANNO</t>
  </si>
  <si>
    <t>Realizzazione Spesa TOTALI</t>
  </si>
  <si>
    <t>Realizz. Investimento SUOLO (solo Titolo I)</t>
  </si>
  <si>
    <t>Attualizzazione Investimenti</t>
  </si>
  <si>
    <t>Erogazione agevolazioni</t>
  </si>
  <si>
    <t>Erogazione contributo conto impianti</t>
  </si>
  <si>
    <t>Ritenuta</t>
  </si>
  <si>
    <t>Erogazioni nette</t>
  </si>
  <si>
    <t>Erogazione mutuo 1</t>
  </si>
  <si>
    <t>Erogazione mutuo 2</t>
  </si>
  <si>
    <t>Erogazione mutuo terzi</t>
  </si>
  <si>
    <t>Erogazione contributo c/impianti attualizzato</t>
  </si>
  <si>
    <t>Erogazione contributo c/interessi a SAL</t>
  </si>
  <si>
    <t>Erogazione contributo c/interessi attualizzato</t>
  </si>
  <si>
    <t>ESL Contributo c/impianti</t>
  </si>
  <si>
    <t>Beneficio attualizzato Mutuo 1</t>
  </si>
  <si>
    <t>ESL Mutuo 1</t>
  </si>
  <si>
    <t>TUTORAGGIO</t>
  </si>
  <si>
    <t>ESL Tutoraggio</t>
  </si>
  <si>
    <t>Beneficio attualizzato Contributo c/interessi</t>
  </si>
  <si>
    <t>ESL Contributo in c/interessi su Mutuo terzi</t>
  </si>
  <si>
    <t>ESL COMPLESSIVO PROGETTO</t>
  </si>
  <si>
    <t>CONTROLLO</t>
  </si>
  <si>
    <t>(*)     Tasso di attualizzazione / riferimento UE   ---------&gt;</t>
  </si>
  <si>
    <t>http://ec.europa.eu/competition/state_aid/legislation/reference_rates.html</t>
  </si>
  <si>
    <t>SVILUPPO FORMULE</t>
  </si>
  <si>
    <t>RIMBORSI A RATA COSTANTE</t>
  </si>
  <si>
    <t>RIMBORSI A QUOTA CAPITALE COSTANTE</t>
  </si>
  <si>
    <t>MUTUO 1</t>
  </si>
  <si>
    <t>parametri:</t>
  </si>
  <si>
    <r>
      <t>i</t>
    </r>
    <r>
      <rPr>
        <vertAlign val="subscript"/>
        <sz val="10"/>
        <rFont val="Times New Roman"/>
        <family val="1"/>
      </rPr>
      <t>ATT/RIF</t>
    </r>
    <r>
      <rPr>
        <sz val="10"/>
        <rFont val="Times New Roman"/>
        <family val="1"/>
      </rPr>
      <t xml:space="preserve"> = tasso attualizz./riferimento equivalente</t>
    </r>
  </si>
  <si>
    <r>
      <t>i</t>
    </r>
    <r>
      <rPr>
        <i/>
        <vertAlign val="subscript"/>
        <sz val="10"/>
        <rFont val="Times New Roman"/>
        <family val="1"/>
      </rPr>
      <t>ATT/RIF</t>
    </r>
    <r>
      <rPr>
        <sz val="10"/>
        <rFont val="Times New Roman"/>
        <family val="1"/>
      </rPr>
      <t xml:space="preserve"> = tasso attualizz./riferimento equivalente</t>
    </r>
  </si>
  <si>
    <r>
      <t>i</t>
    </r>
    <r>
      <rPr>
        <vertAlign val="subscript"/>
        <sz val="10"/>
        <rFont val="Times New Roman"/>
        <family val="1"/>
      </rPr>
      <t>AG</t>
    </r>
    <r>
      <rPr>
        <sz val="10"/>
        <rFont val="Times New Roman"/>
        <family val="1"/>
      </rPr>
      <t xml:space="preserve"> = tasso agevolato equivalente</t>
    </r>
  </si>
  <si>
    <r>
      <t>i</t>
    </r>
    <r>
      <rPr>
        <i/>
        <vertAlign val="subscript"/>
        <sz val="10"/>
        <rFont val="Times New Roman"/>
        <family val="1"/>
      </rPr>
      <t>AG</t>
    </r>
    <r>
      <rPr>
        <sz val="10"/>
        <rFont val="Times New Roman"/>
        <family val="1"/>
      </rPr>
      <t xml:space="preserve"> = tasso agevolato equivalente</t>
    </r>
  </si>
  <si>
    <t>durata finanziamento in anni</t>
  </si>
  <si>
    <t xml:space="preserve"> Erogazione 1° anno</t>
  </si>
  <si>
    <t>p = n. rate preammortamento</t>
  </si>
  <si>
    <t>k= differimento</t>
  </si>
  <si>
    <t>n= n. rate ammortamento</t>
  </si>
  <si>
    <r>
      <t>v</t>
    </r>
    <r>
      <rPr>
        <vertAlign val="superscript"/>
        <sz val="10"/>
        <rFont val="Times New Roman"/>
        <family val="1"/>
      </rPr>
      <t>p</t>
    </r>
    <r>
      <rPr>
        <sz val="10"/>
        <rFont val="Times New Roman"/>
        <family val="1"/>
      </rPr>
      <t xml:space="preserve"> =</t>
    </r>
    <r>
      <rPr>
        <vertAlign val="superscript"/>
        <sz val="10"/>
        <rFont val="Times New Roman"/>
        <family val="1"/>
      </rPr>
      <t xml:space="preserve"> </t>
    </r>
    <r>
      <rPr>
        <sz val="10"/>
        <rFont val="Times New Roman"/>
        <family val="1"/>
      </rPr>
      <t>(1+i</t>
    </r>
    <r>
      <rPr>
        <vertAlign val="subscript"/>
        <sz val="10"/>
        <rFont val="Times New Roman"/>
        <family val="1"/>
      </rPr>
      <t>ATT</t>
    </r>
    <r>
      <rPr>
        <sz val="10"/>
        <rFont val="Times New Roman"/>
        <family val="1"/>
      </rPr>
      <t>)</t>
    </r>
    <r>
      <rPr>
        <vertAlign val="superscript"/>
        <sz val="10"/>
        <rFont val="Times New Roman"/>
        <family val="1"/>
      </rPr>
      <t>-p</t>
    </r>
  </si>
  <si>
    <r>
      <t>v</t>
    </r>
    <r>
      <rPr>
        <vertAlign val="superscript"/>
        <sz val="10"/>
        <rFont val="Times New Roman"/>
        <family val="1"/>
      </rPr>
      <t>p</t>
    </r>
    <r>
      <rPr>
        <sz val="10"/>
        <rFont val="Times New Roman"/>
        <family val="1"/>
      </rPr>
      <t xml:space="preserve"> = (1+i</t>
    </r>
    <r>
      <rPr>
        <vertAlign val="subscript"/>
        <sz val="10"/>
        <rFont val="Times New Roman"/>
        <family val="1"/>
      </rPr>
      <t>ATT</t>
    </r>
    <r>
      <rPr>
        <sz val="10"/>
        <rFont val="Times New Roman"/>
        <family val="1"/>
      </rPr>
      <t>)</t>
    </r>
    <r>
      <rPr>
        <vertAlign val="superscript"/>
        <sz val="10"/>
        <rFont val="Times New Roman"/>
        <family val="1"/>
      </rPr>
      <t>-p</t>
    </r>
  </si>
  <si>
    <r>
      <t>v</t>
    </r>
    <r>
      <rPr>
        <vertAlign val="superscript"/>
        <sz val="10"/>
        <rFont val="Times New Roman"/>
        <family val="1"/>
      </rPr>
      <t xml:space="preserve">k </t>
    </r>
    <r>
      <rPr>
        <sz val="10"/>
        <rFont val="Times New Roman"/>
        <family val="1"/>
      </rPr>
      <t>= (1+i</t>
    </r>
    <r>
      <rPr>
        <vertAlign val="subscript"/>
        <sz val="10"/>
        <rFont val="Times New Roman"/>
        <family val="1"/>
      </rPr>
      <t>ATT</t>
    </r>
    <r>
      <rPr>
        <sz val="10"/>
        <rFont val="Times New Roman"/>
        <family val="1"/>
      </rPr>
      <t>)</t>
    </r>
    <r>
      <rPr>
        <vertAlign val="superscript"/>
        <sz val="10"/>
        <rFont val="Times New Roman"/>
        <family val="1"/>
      </rPr>
      <t>-k</t>
    </r>
  </si>
  <si>
    <r>
      <t>v</t>
    </r>
    <r>
      <rPr>
        <vertAlign val="superscript"/>
        <sz val="10"/>
        <rFont val="Times New Roman"/>
        <family val="1"/>
      </rPr>
      <t>k</t>
    </r>
    <r>
      <rPr>
        <sz val="10"/>
        <rFont val="Times New Roman"/>
        <family val="1"/>
      </rPr>
      <t xml:space="preserve"> = (1+i</t>
    </r>
    <r>
      <rPr>
        <vertAlign val="subscript"/>
        <sz val="10"/>
        <rFont val="Times New Roman"/>
        <family val="1"/>
      </rPr>
      <t>ATT</t>
    </r>
    <r>
      <rPr>
        <sz val="10"/>
        <rFont val="Times New Roman"/>
        <family val="1"/>
      </rPr>
      <t>)</t>
    </r>
    <r>
      <rPr>
        <vertAlign val="superscript"/>
        <sz val="10"/>
        <rFont val="Times New Roman"/>
        <family val="1"/>
      </rPr>
      <t>-k</t>
    </r>
  </si>
  <si>
    <r>
      <t>v</t>
    </r>
    <r>
      <rPr>
        <vertAlign val="superscript"/>
        <sz val="10"/>
        <rFont val="Times New Roman"/>
        <family val="1"/>
      </rPr>
      <t>n</t>
    </r>
    <r>
      <rPr>
        <sz val="10"/>
        <rFont val="Times New Roman"/>
        <family val="1"/>
      </rPr>
      <t>= (1+i</t>
    </r>
    <r>
      <rPr>
        <vertAlign val="subscript"/>
        <sz val="10"/>
        <rFont val="Times New Roman"/>
        <family val="1"/>
      </rPr>
      <t>ATT</t>
    </r>
    <r>
      <rPr>
        <sz val="10"/>
        <rFont val="Times New Roman"/>
        <family val="1"/>
      </rPr>
      <t>)</t>
    </r>
    <r>
      <rPr>
        <vertAlign val="superscript"/>
        <sz val="10"/>
        <rFont val="Times New Roman"/>
        <family val="1"/>
      </rPr>
      <t>-n</t>
    </r>
  </si>
  <si>
    <r>
      <t>a</t>
    </r>
    <r>
      <rPr>
        <vertAlign val="subscript"/>
        <sz val="10"/>
        <rFont val="Times New Roman"/>
        <family val="1"/>
      </rPr>
      <t>n/iATT</t>
    </r>
    <r>
      <rPr>
        <sz val="10"/>
        <rFont val="Times New Roman"/>
        <family val="1"/>
      </rPr>
      <t xml:space="preserve"> </t>
    </r>
  </si>
  <si>
    <r>
      <t>a</t>
    </r>
    <r>
      <rPr>
        <vertAlign val="subscript"/>
        <sz val="10"/>
        <rFont val="Times New Roman"/>
        <family val="1"/>
      </rPr>
      <t>n-1/iATT</t>
    </r>
    <r>
      <rPr>
        <sz val="10"/>
        <rFont val="Times New Roman"/>
        <family val="1"/>
      </rPr>
      <t xml:space="preserve"> </t>
    </r>
  </si>
  <si>
    <t>Rata costante di preammortamento</t>
  </si>
  <si>
    <r>
      <t>V.A. (al tasso equivalente i</t>
    </r>
    <r>
      <rPr>
        <vertAlign val="subscript"/>
        <sz val="10"/>
        <rFont val="Times New Roman"/>
        <family val="1"/>
      </rPr>
      <t>ATT</t>
    </r>
    <r>
      <rPr>
        <sz val="10"/>
        <rFont val="Times New Roman"/>
        <family val="1"/>
      </rPr>
      <t>) rate di preammortam.</t>
    </r>
  </si>
  <si>
    <r>
      <t>V.A. (al tasso equivalente i</t>
    </r>
    <r>
      <rPr>
        <vertAlign val="subscript"/>
        <sz val="10"/>
        <rFont val="Times New Roman"/>
        <family val="1"/>
      </rPr>
      <t>ATT</t>
    </r>
    <r>
      <rPr>
        <sz val="10"/>
        <rFont val="Times New Roman"/>
        <family val="1"/>
      </rPr>
      <t>) rate preammortam.</t>
    </r>
  </si>
  <si>
    <t>Quota capitale costante</t>
  </si>
  <si>
    <t>Prima quota interesse</t>
  </si>
  <si>
    <t>Prima rata (Q.Capitale + prima Q.Interesse)</t>
  </si>
  <si>
    <t>Rata costante di ammortamento</t>
  </si>
  <si>
    <t>D (ragione)</t>
  </si>
  <si>
    <r>
      <t>V.A.(al tasso equivalente i</t>
    </r>
    <r>
      <rPr>
        <vertAlign val="subscript"/>
        <sz val="10"/>
        <rFont val="Times New Roman"/>
        <family val="1"/>
      </rPr>
      <t>ATT</t>
    </r>
    <r>
      <rPr>
        <sz val="10"/>
        <rFont val="Times New Roman"/>
        <family val="1"/>
      </rPr>
      <t>)  rate di ammortamento</t>
    </r>
  </si>
  <si>
    <r>
      <t>V.A.(al tasso equivalente i</t>
    </r>
    <r>
      <rPr>
        <vertAlign val="subscript"/>
        <sz val="10"/>
        <rFont val="Times New Roman"/>
        <family val="1"/>
      </rPr>
      <t>ATT</t>
    </r>
    <r>
      <rPr>
        <sz val="10"/>
        <rFont val="Times New Roman"/>
        <family val="1"/>
      </rPr>
      <t>)  rate ammortamento</t>
    </r>
  </si>
  <si>
    <t>V.A. complessivo (preammortam.+ ammortam.)</t>
  </si>
  <si>
    <t>V.A.complessivo (preammortam.+ ammortam.)</t>
  </si>
  <si>
    <t>Beneficio economico attualizzato</t>
  </si>
  <si>
    <t>Erogazione 2° anno</t>
  </si>
  <si>
    <t>k = differimento</t>
  </si>
  <si>
    <r>
      <t>v</t>
    </r>
    <r>
      <rPr>
        <vertAlign val="superscript"/>
        <sz val="10"/>
        <rFont val="Times New Roman"/>
        <family val="1"/>
      </rPr>
      <t xml:space="preserve">p </t>
    </r>
    <r>
      <rPr>
        <sz val="10"/>
        <rFont val="Times New Roman"/>
        <family val="1"/>
      </rPr>
      <t>=</t>
    </r>
    <r>
      <rPr>
        <vertAlign val="superscript"/>
        <sz val="10"/>
        <rFont val="Times New Roman"/>
        <family val="1"/>
      </rPr>
      <t xml:space="preserve"> </t>
    </r>
    <r>
      <rPr>
        <sz val="10"/>
        <rFont val="Times New Roman"/>
        <family val="1"/>
      </rPr>
      <t>(1+i</t>
    </r>
    <r>
      <rPr>
        <vertAlign val="subscript"/>
        <sz val="10"/>
        <rFont val="Times New Roman"/>
        <family val="1"/>
      </rPr>
      <t>ATT</t>
    </r>
    <r>
      <rPr>
        <sz val="10"/>
        <rFont val="Times New Roman"/>
        <family val="1"/>
      </rPr>
      <t>)</t>
    </r>
    <r>
      <rPr>
        <vertAlign val="superscript"/>
        <sz val="10"/>
        <rFont val="Times New Roman"/>
        <family val="1"/>
      </rPr>
      <t>-p</t>
    </r>
  </si>
  <si>
    <t xml:space="preserve"> Erogazione 3° anno</t>
  </si>
  <si>
    <t>Erogazione 3° anno</t>
  </si>
  <si>
    <t>Erogazione 4° anno</t>
  </si>
  <si>
    <t>Erogazione 5° anno</t>
  </si>
  <si>
    <t>MUTUO 2</t>
  </si>
  <si>
    <r>
      <t>v</t>
    </r>
    <r>
      <rPr>
        <vertAlign val="superscript"/>
        <sz val="10"/>
        <rFont val="Times New Roman"/>
        <family val="1"/>
      </rPr>
      <t xml:space="preserve">p </t>
    </r>
    <r>
      <rPr>
        <sz val="10"/>
        <rFont val="Times New Roman"/>
        <family val="1"/>
      </rPr>
      <t>= (1+i</t>
    </r>
    <r>
      <rPr>
        <vertAlign val="subscript"/>
        <sz val="10"/>
        <rFont val="Times New Roman"/>
        <family val="1"/>
      </rPr>
      <t>ATT</t>
    </r>
    <r>
      <rPr>
        <sz val="10"/>
        <rFont val="Times New Roman"/>
        <family val="1"/>
      </rPr>
      <t>)</t>
    </r>
    <r>
      <rPr>
        <vertAlign val="superscript"/>
        <sz val="10"/>
        <rFont val="Times New Roman"/>
        <family val="1"/>
      </rPr>
      <t>-p</t>
    </r>
  </si>
  <si>
    <r>
      <t>v</t>
    </r>
    <r>
      <rPr>
        <vertAlign val="superscript"/>
        <sz val="10"/>
        <rFont val="Times New Roman"/>
        <family val="1"/>
      </rPr>
      <t xml:space="preserve">n </t>
    </r>
    <r>
      <rPr>
        <sz val="10"/>
        <rFont val="Times New Roman"/>
        <family val="1"/>
      </rPr>
      <t>=(1+i</t>
    </r>
    <r>
      <rPr>
        <vertAlign val="subscript"/>
        <sz val="10"/>
        <rFont val="Times New Roman"/>
        <family val="1"/>
      </rPr>
      <t>ATT</t>
    </r>
    <r>
      <rPr>
        <sz val="10"/>
        <rFont val="Times New Roman"/>
        <family val="1"/>
      </rPr>
      <t>)</t>
    </r>
    <r>
      <rPr>
        <vertAlign val="superscript"/>
        <sz val="10"/>
        <rFont val="Times New Roman"/>
        <family val="1"/>
      </rPr>
      <t>-n</t>
    </r>
  </si>
  <si>
    <t>MUTUO terzi</t>
  </si>
  <si>
    <t>Parametri:</t>
  </si>
  <si>
    <r>
      <t>i</t>
    </r>
    <r>
      <rPr>
        <i/>
        <vertAlign val="subscript"/>
        <sz val="10"/>
        <rFont val="Times New Roman"/>
        <family val="1"/>
      </rPr>
      <t>ATT</t>
    </r>
    <r>
      <rPr>
        <sz val="10"/>
        <rFont val="Times New Roman"/>
        <family val="1"/>
      </rPr>
      <t xml:space="preserve"> = tasso attualizz./riferimento equivalente</t>
    </r>
  </si>
  <si>
    <r>
      <t>i</t>
    </r>
    <r>
      <rPr>
        <vertAlign val="subscript"/>
        <sz val="10"/>
        <rFont val="Times New Roman"/>
        <family val="1"/>
      </rPr>
      <t>ABB</t>
    </r>
    <r>
      <rPr>
        <sz val="10"/>
        <rFont val="Times New Roman"/>
        <family val="1"/>
      </rPr>
      <t xml:space="preserve"> = tasso da abbuonare</t>
    </r>
  </si>
  <si>
    <t>durata finanziamento Banca in anni</t>
  </si>
  <si>
    <t>Erogazione 1° anno</t>
  </si>
  <si>
    <r>
      <t>Quota interesse di preammortamento a tasso i</t>
    </r>
    <r>
      <rPr>
        <vertAlign val="subscript"/>
        <sz val="10"/>
        <rFont val="Times New Roman"/>
        <family val="1"/>
      </rPr>
      <t>ABB</t>
    </r>
  </si>
  <si>
    <r>
      <t>Quota interesse di preammortamento a tasso i</t>
    </r>
    <r>
      <rPr>
        <vertAlign val="subscript"/>
        <sz val="10"/>
        <rFont val="Times New Roman"/>
        <family val="1"/>
      </rPr>
      <t>ABB</t>
    </r>
    <r>
      <rPr>
        <sz val="10"/>
        <rFont val="Times New Roman"/>
        <family val="1"/>
      </rPr>
      <t xml:space="preserve"> </t>
    </r>
  </si>
  <si>
    <t>Rata costante a tasso da abbuonare</t>
  </si>
  <si>
    <r>
      <t>fattore moltiplicativo a</t>
    </r>
    <r>
      <rPr>
        <vertAlign val="subscript"/>
        <sz val="10"/>
        <rFont val="Times New Roman"/>
        <family val="1"/>
      </rPr>
      <t>n/iatt</t>
    </r>
    <r>
      <rPr>
        <sz val="10"/>
        <rFont val="Times New Roman"/>
        <family val="1"/>
      </rPr>
      <t xml:space="preserve"> </t>
    </r>
  </si>
  <si>
    <r>
      <t>fattore moltiplicativo a</t>
    </r>
    <r>
      <rPr>
        <vertAlign val="subscript"/>
        <sz val="10"/>
        <rFont val="Times New Roman"/>
        <family val="1"/>
      </rPr>
      <t>p/iatt</t>
    </r>
    <r>
      <rPr>
        <sz val="10"/>
        <rFont val="Times New Roman"/>
        <family val="1"/>
      </rPr>
      <t xml:space="preserve"> </t>
    </r>
  </si>
  <si>
    <r>
      <t>fattore moltiplicativo a</t>
    </r>
    <r>
      <rPr>
        <vertAlign val="subscript"/>
        <sz val="10"/>
        <rFont val="Times New Roman"/>
        <family val="1"/>
      </rPr>
      <t xml:space="preserve">p/iatt </t>
    </r>
  </si>
  <si>
    <t>Benefico attualizzato Contributo c/interessi</t>
  </si>
  <si>
    <t>ESL Area</t>
  </si>
  <si>
    <t>Scaglioni investimenti</t>
  </si>
  <si>
    <t>Quota di ESL x scaglioni</t>
  </si>
  <si>
    <t>%ESL per scaglioni</t>
  </si>
  <si>
    <t>0-50 mln</t>
  </si>
  <si>
    <t>50-100 mln</t>
  </si>
  <si>
    <t>&gt;100 mln</t>
  </si>
  <si>
    <t>Investimenti Unitari €/mgl</t>
  </si>
  <si>
    <t>Scaglioni</t>
  </si>
  <si>
    <t>Peso %</t>
  </si>
  <si>
    <t>% ESL ponderata</t>
  </si>
  <si>
    <t>Preventivo/Fattura</t>
  </si>
  <si>
    <t>Fornitore</t>
  </si>
  <si>
    <t>Tipologia</t>
  </si>
  <si>
    <t>Macrovoce di spesa indicata dal Proponente</t>
  </si>
  <si>
    <t>Verifica/Riclassificazione Macrovoce di spesa</t>
  </si>
  <si>
    <t>Imponibile</t>
  </si>
  <si>
    <t>IVA</t>
  </si>
  <si>
    <t>Altri oneri</t>
  </si>
  <si>
    <t>Totale</t>
  </si>
  <si>
    <t>Importo da Realizzare</t>
  </si>
  <si>
    <t>Importo Ammissibile (non considerare percentuali circolari)</t>
  </si>
  <si>
    <t>Importo non ammissibile</t>
  </si>
  <si>
    <t>Note</t>
  </si>
  <si>
    <t>1515/23</t>
  </si>
  <si>
    <t>Invitalia s.r.l.</t>
  </si>
  <si>
    <t>Acquisto cucina mod. FE458</t>
  </si>
  <si>
    <t>Macchinari, impianti ed attrezzature</t>
  </si>
  <si>
    <t>Opere murarie e assimilate</t>
  </si>
  <si>
    <t>Acquisto immobile sede dell'attività</t>
  </si>
  <si>
    <t>SRL</t>
  </si>
  <si>
    <t>Anticipo</t>
  </si>
  <si>
    <t>SRLS</t>
  </si>
  <si>
    <t>I SAL</t>
  </si>
  <si>
    <t>Programmi informatici e servizi per le tecnologie dell’informazione e della comunicazione</t>
  </si>
  <si>
    <t>SRL Unipersonale</t>
  </si>
  <si>
    <t>II SAL</t>
  </si>
  <si>
    <t>Acquisto di brevetti o acquisizione di relative licenze d’uso</t>
  </si>
  <si>
    <t>Programmi informatici, brevetti, licenze e marchi</t>
  </si>
  <si>
    <t>SPA</t>
  </si>
  <si>
    <t>III SAL</t>
  </si>
  <si>
    <t>Brevetti, licenze e marchi</t>
  </si>
  <si>
    <t>Consulenze specialistiche</t>
  </si>
  <si>
    <t>Non richiesto da realizzare</t>
  </si>
  <si>
    <t>SAPA</t>
  </si>
  <si>
    <t>IV SAL</t>
  </si>
  <si>
    <t>Consulenze specialistiche capitalizzabili</t>
  </si>
  <si>
    <t>Oneri notarili connessi alla stipula del contratto di finanziamento ed oneri connessi alla costituzione della società</t>
  </si>
  <si>
    <t>SNC</t>
  </si>
  <si>
    <t>SAL a Saldo</t>
  </si>
  <si>
    <t>Oneri connessi alla stipula contratto di finanziamento (ad esempio spese notarili) e per la costituzione della società</t>
  </si>
  <si>
    <t>SAS</t>
  </si>
  <si>
    <t>Unica soluzione</t>
  </si>
  <si>
    <t>SRL STP</t>
  </si>
  <si>
    <t>SRLS STP</t>
  </si>
  <si>
    <t>SPA STP</t>
  </si>
  <si>
    <t>SAPA STP</t>
  </si>
  <si>
    <t>SNC STP</t>
  </si>
  <si>
    <t>SAS STP</t>
  </si>
  <si>
    <t>Soc. cons. srl</t>
  </si>
  <si>
    <t>Soc. Coop.</t>
  </si>
  <si>
    <t>Soc. Coop. STP</t>
  </si>
  <si>
    <t>Soc. Cons. A.R.L.</t>
  </si>
  <si>
    <t>Società estera</t>
  </si>
  <si>
    <t>ND</t>
  </si>
  <si>
    <t>FORMAT DOMANDA SECONDA FASE</t>
  </si>
  <si>
    <t>POST SECONDO COLLOQUIO</t>
  </si>
  <si>
    <t>INVESTIMENTI</t>
  </si>
  <si>
    <t>Importo richiesto seconda fase</t>
  </si>
  <si>
    <t>% sul totale investimento</t>
  </si>
  <si>
    <t>Importo da realizzare (da istruttoria)</t>
  </si>
  <si>
    <t>Importo ammesso (da istruttoria)</t>
  </si>
  <si>
    <t>TOTALE INVESTIMENTO</t>
  </si>
  <si>
    <t>Capitale circolante</t>
  </si>
  <si>
    <t>TOTALE PROGRAMMA DI SPESA</t>
  </si>
  <si>
    <t xml:space="preserve"> </t>
  </si>
  <si>
    <t>Livorno</t>
  </si>
  <si>
    <t>Comune</t>
  </si>
  <si>
    <t>Regione</t>
  </si>
  <si>
    <t>Provincia</t>
  </si>
  <si>
    <t>ex art. 107 par. 3 lettera C)</t>
  </si>
  <si>
    <t xml:space="preserve">Carta
 Zona C  </t>
  </si>
  <si>
    <t>Bando 
Sisma</t>
  </si>
  <si>
    <t>Lazio</t>
  </si>
  <si>
    <t>Marche</t>
  </si>
  <si>
    <t>Umbria</t>
  </si>
  <si>
    <t>L'Aquila</t>
  </si>
  <si>
    <t>Teramo</t>
  </si>
  <si>
    <t>Rieti</t>
  </si>
  <si>
    <t>Ancona</t>
  </si>
  <si>
    <t>Macerata</t>
  </si>
  <si>
    <t>Ascoli Piceno</t>
  </si>
  <si>
    <t>Fermo</t>
  </si>
  <si>
    <t>Perugia</t>
  </si>
  <si>
    <t>Terni</t>
  </si>
  <si>
    <t>Comuni maggiornamente colpiti</t>
  </si>
  <si>
    <t>Denominazione (Italiana e straniera)</t>
  </si>
  <si>
    <t>Denominazione in italiano</t>
  </si>
  <si>
    <t>Denominazione altra lingua</t>
  </si>
  <si>
    <t>Denominazione regione</t>
  </si>
  <si>
    <t>Denominazione dell'Unità territoriale sovracomunale 
(valida a fini statistici)</t>
  </si>
  <si>
    <t>Piemonte</t>
  </si>
  <si>
    <t>Vercelli</t>
  </si>
  <si>
    <t>Biella</t>
  </si>
  <si>
    <t>Torino</t>
  </si>
  <si>
    <t>Valle_d_Aosta</t>
  </si>
  <si>
    <t>Valle d Aosta Vallée d Aoste</t>
  </si>
  <si>
    <t>Lombardia</t>
  </si>
  <si>
    <t>Como</t>
  </si>
  <si>
    <t>Sondrio</t>
  </si>
  <si>
    <t>Pavia</t>
  </si>
  <si>
    <t>Cremona</t>
  </si>
  <si>
    <t>Mantova</t>
  </si>
  <si>
    <t>Lodi</t>
  </si>
  <si>
    <t>Veneto</t>
  </si>
  <si>
    <t>Venezia</t>
  </si>
  <si>
    <t>Rovigo</t>
  </si>
  <si>
    <t>Belluno</t>
  </si>
  <si>
    <t>Friuli Venezia Giulia</t>
  </si>
  <si>
    <t>Udine</t>
  </si>
  <si>
    <t>Gorizia</t>
  </si>
  <si>
    <t>Pordenone</t>
  </si>
  <si>
    <t>Liguria</t>
  </si>
  <si>
    <t>Savona</t>
  </si>
  <si>
    <t>Imperia</t>
  </si>
  <si>
    <t>La Spezia</t>
  </si>
  <si>
    <t>Genova</t>
  </si>
  <si>
    <t>Emilia Romagna</t>
  </si>
  <si>
    <t>Piacenza</t>
  </si>
  <si>
    <t>Ferrara</t>
  </si>
  <si>
    <t>Toscana</t>
  </si>
  <si>
    <t>Massa Carrara</t>
  </si>
  <si>
    <t>Lucca</t>
  </si>
  <si>
    <t>Pistoia</t>
  </si>
  <si>
    <t>Pisa</t>
  </si>
  <si>
    <t>Arezzo</t>
  </si>
  <si>
    <t>Grosseto</t>
  </si>
  <si>
    <t>Pesaro e Urbino</t>
  </si>
  <si>
    <t>Viterbo</t>
  </si>
  <si>
    <t>Latina</t>
  </si>
  <si>
    <t>Frosinone</t>
  </si>
  <si>
    <t>Roma</t>
  </si>
  <si>
    <t>Abruzzo</t>
  </si>
  <si>
    <t>Pescara</t>
  </si>
  <si>
    <t>Chieti</t>
  </si>
  <si>
    <t>Cascia</t>
  </si>
  <si>
    <t>si</t>
  </si>
  <si>
    <t>L Aquila</t>
  </si>
  <si>
    <t>Navelli</t>
  </si>
  <si>
    <t>Arsita</t>
  </si>
  <si>
    <t>Accumoli</t>
  </si>
  <si>
    <t>Cerreto d'Esi</t>
  </si>
  <si>
    <t xml:space="preserve">Acquacanina </t>
  </si>
  <si>
    <t>Acquasanta Terme</t>
  </si>
  <si>
    <t>Amandola</t>
  </si>
  <si>
    <t>Arrone</t>
  </si>
  <si>
    <t>Campotosto</t>
  </si>
  <si>
    <t>Balocco</t>
  </si>
  <si>
    <t>Si</t>
  </si>
  <si>
    <t>Benna</t>
  </si>
  <si>
    <t>Agliè</t>
  </si>
  <si>
    <t>Arnad</t>
  </si>
  <si>
    <t>Albavilla</t>
  </si>
  <si>
    <t>Andalo Valtellino</t>
  </si>
  <si>
    <t>Albuzzano</t>
  </si>
  <si>
    <t>Capergnanica</t>
  </si>
  <si>
    <t>Bagnolo San Vito</t>
  </si>
  <si>
    <t>Brembio</t>
  </si>
  <si>
    <t>Bergantino</t>
  </si>
  <si>
    <t>Agordo</t>
  </si>
  <si>
    <t>Aiello del Friuli</t>
  </si>
  <si>
    <t>Cormons</t>
  </si>
  <si>
    <t>Brugnera</t>
  </si>
  <si>
    <t>Altare</t>
  </si>
  <si>
    <t>Apricale</t>
  </si>
  <si>
    <t>Arcola</t>
  </si>
  <si>
    <t>Busalla</t>
  </si>
  <si>
    <t>Caorso</t>
  </si>
  <si>
    <t>Argenta</t>
  </si>
  <si>
    <t>Carrara</t>
  </si>
  <si>
    <t>Altopascio</t>
  </si>
  <si>
    <t>Agliana</t>
  </si>
  <si>
    <t>Campiglia Marittima</t>
  </si>
  <si>
    <t>Calcinaia</t>
  </si>
  <si>
    <t>Follonica</t>
  </si>
  <si>
    <t>Bastia Umbra</t>
  </si>
  <si>
    <t>Narni</t>
  </si>
  <si>
    <t>Frontone</t>
  </si>
  <si>
    <t>Castelbellino</t>
  </si>
  <si>
    <t>Apiro</t>
  </si>
  <si>
    <t>Acquapendente</t>
  </si>
  <si>
    <t>Aprilia</t>
  </si>
  <si>
    <t>Anagni</t>
  </si>
  <si>
    <t>Civitavecchia</t>
  </si>
  <si>
    <t>Aielli</t>
  </si>
  <si>
    <t>Ancarano</t>
  </si>
  <si>
    <t>Alanno</t>
  </si>
  <si>
    <t>Arielli</t>
  </si>
  <si>
    <t>Cerreto di Spoleto</t>
  </si>
  <si>
    <t>Altro</t>
  </si>
  <si>
    <t>Ocre</t>
  </si>
  <si>
    <t>Amatrice</t>
  </si>
  <si>
    <t>Fabriano</t>
  </si>
  <si>
    <t>Appignano del Tronto</t>
  </si>
  <si>
    <t>Belmonte Piceno</t>
  </si>
  <si>
    <t>Ferentillo</t>
  </si>
  <si>
    <t>Capitignano</t>
  </si>
  <si>
    <t>Borgosesia</t>
  </si>
  <si>
    <t>Bianzè</t>
  </si>
  <si>
    <t>Albiano d'Ivrea</t>
  </si>
  <si>
    <t>ALTRO</t>
  </si>
  <si>
    <t>Brissogne</t>
  </si>
  <si>
    <t>Cabiate</t>
  </si>
  <si>
    <t>Ardenno</t>
  </si>
  <si>
    <t>Borgo San Siro</t>
  </si>
  <si>
    <t>Cappella Cantone</t>
  </si>
  <si>
    <t>Curtatone</t>
  </si>
  <si>
    <t>Casalpusterlengo</t>
  </si>
  <si>
    <t>Bosaro</t>
  </si>
  <si>
    <t>Alleghe</t>
  </si>
  <si>
    <t>Bagnaria Arsa</t>
  </si>
  <si>
    <t>Farra d'Isonzo</t>
  </si>
  <si>
    <t>Fontanafredda</t>
  </si>
  <si>
    <t>Arnasco</t>
  </si>
  <si>
    <t>Aurigo</t>
  </si>
  <si>
    <t>Follo</t>
  </si>
  <si>
    <t>Campomorone</t>
  </si>
  <si>
    <t>Castelvetro Piacentino</t>
  </si>
  <si>
    <t>Bondeno</t>
  </si>
  <si>
    <t>Massa</t>
  </si>
  <si>
    <t>Capannori</t>
  </si>
  <si>
    <t>Montale</t>
  </si>
  <si>
    <t>Fauglia</t>
  </si>
  <si>
    <t>Capolona</t>
  </si>
  <si>
    <t>Gavorrano</t>
  </si>
  <si>
    <t>Bettona</t>
  </si>
  <si>
    <t>San Gemini</t>
  </si>
  <si>
    <t>Serra Sant'Abbondio</t>
  </si>
  <si>
    <t>Belforte del Chienti</t>
  </si>
  <si>
    <t>Bolsena</t>
  </si>
  <si>
    <t>Castelforte</t>
  </si>
  <si>
    <t>Cassino</t>
  </si>
  <si>
    <t>Guidonia Montecelio</t>
  </si>
  <si>
    <t>Avezzano</t>
  </si>
  <si>
    <t>Castellalto</t>
  </si>
  <si>
    <t>Bolognano</t>
  </si>
  <si>
    <t>Atessa</t>
  </si>
  <si>
    <t>Monteleone di Spoleto</t>
  </si>
  <si>
    <t>Ofena</t>
  </si>
  <si>
    <t>Antrodoco</t>
  </si>
  <si>
    <t>Arquata del Tronto</t>
  </si>
  <si>
    <t>Falerone</t>
  </si>
  <si>
    <t>Montefranco</t>
  </si>
  <si>
    <t>Valle Castellana</t>
  </si>
  <si>
    <t>Casanova Elvo</t>
  </si>
  <si>
    <t>Buronzo</t>
  </si>
  <si>
    <t>Candelo</t>
  </si>
  <si>
    <t>Bairo</t>
  </si>
  <si>
    <t>Chambave</t>
  </si>
  <si>
    <t>Cadorago</t>
  </si>
  <si>
    <t>Berbenno di Valtellina</t>
  </si>
  <si>
    <t>Carbonara al Ticino</t>
  </si>
  <si>
    <t>Castelleone</t>
  </si>
  <si>
    <t>Motteggiana</t>
  </si>
  <si>
    <t>Codogno</t>
  </si>
  <si>
    <t>Calto</t>
  </si>
  <si>
    <t>Calalzo di Cadore</t>
  </si>
  <si>
    <t>Buttrio</t>
  </si>
  <si>
    <t>Fogliano Redipuglia</t>
  </si>
  <si>
    <t>Pasiano di Pordenone</t>
  </si>
  <si>
    <t>Bardineto</t>
  </si>
  <si>
    <t>Badalucco</t>
  </si>
  <si>
    <t>Carasco</t>
  </si>
  <si>
    <t>Monticelli d'Ongina</t>
  </si>
  <si>
    <t>Cento</t>
  </si>
  <si>
    <t>Montignoso</t>
  </si>
  <si>
    <t>Piombino</t>
  </si>
  <si>
    <t>Pontedera</t>
  </si>
  <si>
    <t>Civitella in Val di Chiana</t>
  </si>
  <si>
    <t>Campello sul Clitunno</t>
  </si>
  <si>
    <t>Cupramontana</t>
  </si>
  <si>
    <t>Bolognola</t>
  </si>
  <si>
    <t>Campofilone</t>
  </si>
  <si>
    <t>Castel Sant'Elia</t>
  </si>
  <si>
    <t>Cisterna di Latina</t>
  </si>
  <si>
    <t>Ceccano</t>
  </si>
  <si>
    <t>Pomezia</t>
  </si>
  <si>
    <t>Calascio</t>
  </si>
  <si>
    <t>Colonnella</t>
  </si>
  <si>
    <t>Bussi sul Tirino</t>
  </si>
  <si>
    <t>Casalanguida</t>
  </si>
  <si>
    <t>Norcia</t>
  </si>
  <si>
    <t>Ovindoli</t>
  </si>
  <si>
    <t>Borbona</t>
  </si>
  <si>
    <t>Massa Fermana</t>
  </si>
  <si>
    <t>Polino</t>
  </si>
  <si>
    <t>Cortino</t>
  </si>
  <si>
    <t>San Giacomo Vercellese</t>
  </si>
  <si>
    <t>Carisio</t>
  </si>
  <si>
    <t>Casapinta</t>
  </si>
  <si>
    <t>Beinasco</t>
  </si>
  <si>
    <t>Champdepraz</t>
  </si>
  <si>
    <t>Cantù</t>
  </si>
  <si>
    <t>Buglio in Monte</t>
  </si>
  <si>
    <t>Casteggio</t>
  </si>
  <si>
    <t>Crema</t>
  </si>
  <si>
    <t>Pegognaga</t>
  </si>
  <si>
    <t>Canaro</t>
  </si>
  <si>
    <t>Cencenighe Agordino</t>
  </si>
  <si>
    <t>Cervignano del Friuli</t>
  </si>
  <si>
    <t>Porcia</t>
  </si>
  <si>
    <t>Bormida</t>
  </si>
  <si>
    <t>Bajardo</t>
  </si>
  <si>
    <t>Santo Stefano di Magra</t>
  </si>
  <si>
    <t>Casarza Ligure</t>
  </si>
  <si>
    <t>Codigoro</t>
  </si>
  <si>
    <t>Porcari</t>
  </si>
  <si>
    <t>Rosignano Marittimo</t>
  </si>
  <si>
    <t>Casciana Terme Lari</t>
  </si>
  <si>
    <t>Laterina Pergine Valdarno</t>
  </si>
  <si>
    <t>Scarlino</t>
  </si>
  <si>
    <t>Caldarola</t>
  </si>
  <si>
    <t>Civita Castellana</t>
  </si>
  <si>
    <t>Fondi</t>
  </si>
  <si>
    <t>Ferentino</t>
  </si>
  <si>
    <t>Carsoli</t>
  </si>
  <si>
    <t>Controguerra</t>
  </si>
  <si>
    <t>Caramanico Terme</t>
  </si>
  <si>
    <t>Casoli</t>
  </si>
  <si>
    <t>Poggiodomo</t>
  </si>
  <si>
    <t>Pizzoli</t>
  </si>
  <si>
    <t>Borgo Velino</t>
  </si>
  <si>
    <t>Castel di Lama</t>
  </si>
  <si>
    <t>Monsampietro Morico</t>
  </si>
  <si>
    <t>Montereale</t>
  </si>
  <si>
    <t>Crescentino</t>
  </si>
  <si>
    <t>Castelletto Cervo</t>
  </si>
  <si>
    <t>Borgofranco d'Ivrea</t>
  </si>
  <si>
    <t>Charvensod</t>
  </si>
  <si>
    <t>Casnate con Bernate</t>
  </si>
  <si>
    <t>Castione Andevenno</t>
  </si>
  <si>
    <t>Certosa di Pavia</t>
  </si>
  <si>
    <t>Cremosano</t>
  </si>
  <si>
    <t>Roncoferraro</t>
  </si>
  <si>
    <t>Lodi Vecchio</t>
  </si>
  <si>
    <t>Castelmassa</t>
  </si>
  <si>
    <t>Cibiana di Cadore</t>
  </si>
  <si>
    <t>Chiopris-Viscone</t>
  </si>
  <si>
    <t>Mariano del Friuli</t>
  </si>
  <si>
    <t>Prata di Pordenone</t>
  </si>
  <si>
    <t>Cairo Montenotte</t>
  </si>
  <si>
    <t>Borgomaro</t>
  </si>
  <si>
    <t>Vezzano Ligure</t>
  </si>
  <si>
    <t>Casella</t>
  </si>
  <si>
    <t>Comacchio</t>
  </si>
  <si>
    <t>Crespina Lorenzana</t>
  </si>
  <si>
    <t>Castel Ritaldi</t>
  </si>
  <si>
    <t>Genga</t>
  </si>
  <si>
    <t>Camerino</t>
  </si>
  <si>
    <t>Corchiano</t>
  </si>
  <si>
    <t>Formia</t>
  </si>
  <si>
    <t>Tivoli</t>
  </si>
  <si>
    <t>Castel del Monte</t>
  </si>
  <si>
    <t>Corropoli</t>
  </si>
  <si>
    <t>Castiglione a Casauria</t>
  </si>
  <si>
    <t>Castel Frentano</t>
  </si>
  <si>
    <t>Preci</t>
  </si>
  <si>
    <t>Poggio Picenze</t>
  </si>
  <si>
    <t>Cantalice</t>
  </si>
  <si>
    <t>Castignano</t>
  </si>
  <si>
    <t>Montappone</t>
  </si>
  <si>
    <t>Torricella Sicura</t>
  </si>
  <si>
    <t>Crova</t>
  </si>
  <si>
    <t>Cavaglià</t>
  </si>
  <si>
    <t>Collegno</t>
  </si>
  <si>
    <t>Châtillon</t>
  </si>
  <si>
    <t>Cermenate</t>
  </si>
  <si>
    <t>Cosio Valtellino</t>
  </si>
  <si>
    <t>Cervesina</t>
  </si>
  <si>
    <t>Crotta d'Adda</t>
  </si>
  <si>
    <t>San Benedetto Po</t>
  </si>
  <si>
    <t>Merlino</t>
  </si>
  <si>
    <t>Castelnovo Bariano</t>
  </si>
  <si>
    <t>Colle Santa Lucia</t>
  </si>
  <si>
    <t>Corno di Rosazzo</t>
  </si>
  <si>
    <t>Monfalcone</t>
  </si>
  <si>
    <t>Calizzano</t>
  </si>
  <si>
    <t>Caravonica</t>
  </si>
  <si>
    <t>Castiglione Chiavarese</t>
  </si>
  <si>
    <t>Jesi</t>
  </si>
  <si>
    <t>Camporotondo di Fiastrone</t>
  </si>
  <si>
    <t>Francavilla d'Ete</t>
  </si>
  <si>
    <t>Fabrica di Roma</t>
  </si>
  <si>
    <t>Gaeta</t>
  </si>
  <si>
    <t>Piedimonte San Germano</t>
  </si>
  <si>
    <t>Celano</t>
  </si>
  <si>
    <t>Giulianova</t>
  </si>
  <si>
    <t>Cepagatti</t>
  </si>
  <si>
    <t>Sant'Anatolia di Narco</t>
  </si>
  <si>
    <t>Prata d'Ansidonia</t>
  </si>
  <si>
    <t>Castel Sant'Angelo</t>
  </si>
  <si>
    <t>Castorano</t>
  </si>
  <si>
    <t>Montefalcone Appennino</t>
  </si>
  <si>
    <t>Fontanetto Po</t>
  </si>
  <si>
    <t>Cigliano</t>
  </si>
  <si>
    <t>Cerreto Castello</t>
  </si>
  <si>
    <t>Colleretto Giacosa</t>
  </si>
  <si>
    <t>Donnas</t>
  </si>
  <si>
    <t>Cirimido</t>
  </si>
  <si>
    <t>Delebio</t>
  </si>
  <si>
    <t>Cura Carpignano</t>
  </si>
  <si>
    <t>Madignano</t>
  </si>
  <si>
    <t>San Giorgio Bigarello</t>
  </si>
  <si>
    <t>Mulazzano</t>
  </si>
  <si>
    <t>Ceneselli</t>
  </si>
  <si>
    <t>Domegge di Cadore</t>
  </si>
  <si>
    <t>Manzano</t>
  </si>
  <si>
    <t>Mossa</t>
  </si>
  <si>
    <t>Carcare</t>
  </si>
  <si>
    <t>Cesio</t>
  </si>
  <si>
    <t>Ceranesi</t>
  </si>
  <si>
    <t>Jolanda di Savoia</t>
  </si>
  <si>
    <t>Citerna</t>
  </si>
  <si>
    <t>Monsano</t>
  </si>
  <si>
    <t>Castelraimondo</t>
  </si>
  <si>
    <t>Gallese</t>
  </si>
  <si>
    <t>Casperia</t>
  </si>
  <si>
    <t>Itri</t>
  </si>
  <si>
    <t>Sant'Ambrogio sul Garigliano</t>
  </si>
  <si>
    <t>Fossa</t>
  </si>
  <si>
    <t>Mosciano Sant'Angelo</t>
  </si>
  <si>
    <t>Città Sant'Angelo</t>
  </si>
  <si>
    <t>Cupello</t>
  </si>
  <si>
    <t>Scheggino</t>
  </si>
  <si>
    <t>Rocca di Cambio</t>
  </si>
  <si>
    <t>Cittaducale</t>
  </si>
  <si>
    <t>Colli del Tronto</t>
  </si>
  <si>
    <t>Montefortino</t>
  </si>
  <si>
    <t>Formigliana</t>
  </si>
  <si>
    <t>Collobiano</t>
  </si>
  <si>
    <t>Cerrione</t>
  </si>
  <si>
    <t>Druento</t>
  </si>
  <si>
    <t>Fénis</t>
  </si>
  <si>
    <t>Cucciago</t>
  </si>
  <si>
    <t>Grosio</t>
  </si>
  <si>
    <t>Dorno</t>
  </si>
  <si>
    <t>Pizzighettone</t>
  </si>
  <si>
    <t>Suzzara</t>
  </si>
  <si>
    <t>Ospedaletto Lodigiano</t>
  </si>
  <si>
    <t>Ficarolo</t>
  </si>
  <si>
    <t>Falcade</t>
  </si>
  <si>
    <t>Pavia di Udine</t>
  </si>
  <si>
    <t>Ronchi dei Legionari</t>
  </si>
  <si>
    <t>Casanova Lerrone</t>
  </si>
  <si>
    <t>Chiusanico</t>
  </si>
  <si>
    <t>Chiavari</t>
  </si>
  <si>
    <t>Masi Torello</t>
  </si>
  <si>
    <t>Città di Castello</t>
  </si>
  <si>
    <t>Monte Roberto</t>
  </si>
  <si>
    <t>Castelsantangelo sul Nera</t>
  </si>
  <si>
    <t>Montefiascone</t>
  </si>
  <si>
    <t>Sant'Andrea del Garigliano</t>
  </si>
  <si>
    <t>Nereto</t>
  </si>
  <si>
    <t>Civitella Casanova</t>
  </si>
  <si>
    <t>Fara Filiorum Petri</t>
  </si>
  <si>
    <t>Sellano</t>
  </si>
  <si>
    <t>Rocca di Mezzo</t>
  </si>
  <si>
    <t>Cittareale</t>
  </si>
  <si>
    <t>Comunanza</t>
  </si>
  <si>
    <t>Montegiorgio</t>
  </si>
  <si>
    <t>Leonessa</t>
  </si>
  <si>
    <t>Gattinara</t>
  </si>
  <si>
    <t>Crosa</t>
  </si>
  <si>
    <t>Grugliasco</t>
  </si>
  <si>
    <t>Gignod</t>
  </si>
  <si>
    <t>Erba</t>
  </si>
  <si>
    <t>Grosotto</t>
  </si>
  <si>
    <t>Filighera</t>
  </si>
  <si>
    <t>San Bassano</t>
  </si>
  <si>
    <t>Viadana</t>
  </si>
  <si>
    <t>Ossago Lodigiano</t>
  </si>
  <si>
    <t>Gaiba</t>
  </si>
  <si>
    <t>Canale d'Agordo</t>
  </si>
  <si>
    <t>San Giorgio di Nogaro</t>
  </si>
  <si>
    <t>Sagrado</t>
  </si>
  <si>
    <t>Castelvecchio di Rocca Barbena</t>
  </si>
  <si>
    <t>Chiusavecchia</t>
  </si>
  <si>
    <t>Cicagna</t>
  </si>
  <si>
    <t>Massa Fiscaglia</t>
  </si>
  <si>
    <t>Collazzone</t>
  </si>
  <si>
    <t>San Paolo di Jesi</t>
  </si>
  <si>
    <t>Cessapalombo</t>
  </si>
  <si>
    <t>Monte Romano</t>
  </si>
  <si>
    <t>Minturno</t>
  </si>
  <si>
    <t>Sant'Apollinare</t>
  </si>
  <si>
    <t>Magliano de' Marsi</t>
  </si>
  <si>
    <t>Roseto degli Abruzzi</t>
  </si>
  <si>
    <t>Elice</t>
  </si>
  <si>
    <t>Fara San Martino</t>
  </si>
  <si>
    <t>Spoleto</t>
  </si>
  <si>
    <t>San Demetrio ne' Vestini</t>
  </si>
  <si>
    <t>Cossignano</t>
  </si>
  <si>
    <t>Monteleone di Fermo</t>
  </si>
  <si>
    <t>Quarona</t>
  </si>
  <si>
    <t>Dorzano</t>
  </si>
  <si>
    <t>Ivrea</t>
  </si>
  <si>
    <t>Gressan</t>
  </si>
  <si>
    <t>Grandate</t>
  </si>
  <si>
    <t>Montagna in Valtellina</t>
  </si>
  <si>
    <t>Giussago</t>
  </si>
  <si>
    <t>Soresina</t>
  </si>
  <si>
    <t>Borgo Virgilio</t>
  </si>
  <si>
    <t>Pieve Fissiraga</t>
  </si>
  <si>
    <t>Melara</t>
  </si>
  <si>
    <t>La Valle Agordina</t>
  </si>
  <si>
    <t>San Giovanni al Natisone</t>
  </si>
  <si>
    <t>San Floriano del Collio</t>
  </si>
  <si>
    <t>Cengio</t>
  </si>
  <si>
    <t>Dolceacqua</t>
  </si>
  <si>
    <t>Coreglia Ligure</t>
  </si>
  <si>
    <t>Migliarino</t>
  </si>
  <si>
    <t>Deruta</t>
  </si>
  <si>
    <t>Sassoferrato</t>
  </si>
  <si>
    <t>Cingoli</t>
  </si>
  <si>
    <t>Nepi</t>
  </si>
  <si>
    <t>Ponza</t>
  </si>
  <si>
    <t>San Vittore del Lazio</t>
  </si>
  <si>
    <t>Oricola</t>
  </si>
  <si>
    <t>Sant'Egidio alla Vibrata</t>
  </si>
  <si>
    <t>Farindola</t>
  </si>
  <si>
    <t>Filetto</t>
  </si>
  <si>
    <t>Vallo di Nera</t>
  </si>
  <si>
    <t>San Pio delle Camere</t>
  </si>
  <si>
    <t>Micigliano</t>
  </si>
  <si>
    <t>Folignano</t>
  </si>
  <si>
    <t>Montelparo</t>
  </si>
  <si>
    <t>Posta</t>
  </si>
  <si>
    <t>Ronsecco</t>
  </si>
  <si>
    <t>Gaglianico</t>
  </si>
  <si>
    <t>La Loggia</t>
  </si>
  <si>
    <t>Hône</t>
  </si>
  <si>
    <t>Guanzate</t>
  </si>
  <si>
    <t>Morbegno</t>
  </si>
  <si>
    <t>Marcignago</t>
  </si>
  <si>
    <t>Spinadesco</t>
  </si>
  <si>
    <t>San Martino in Strada</t>
  </si>
  <si>
    <t>Occhiobello</t>
  </si>
  <si>
    <t>Livinallongo del Col di Lana</t>
  </si>
  <si>
    <t>San Vito al Torre</t>
  </si>
  <si>
    <t>Staranzano</t>
  </si>
  <si>
    <t>Dego</t>
  </si>
  <si>
    <t>Dolcedo</t>
  </si>
  <si>
    <t>Migliaro</t>
  </si>
  <si>
    <t>Foligno</t>
  </si>
  <si>
    <t>Serra San Quirico</t>
  </si>
  <si>
    <t>Civitanova Marche</t>
  </si>
  <si>
    <t>Orte</t>
  </si>
  <si>
    <t>Collevecchio</t>
  </si>
  <si>
    <t>Santi Cosma e Damiano</t>
  </si>
  <si>
    <t>Villa Santa Lucia</t>
  </si>
  <si>
    <t>Ortucchio</t>
  </si>
  <si>
    <t>Sant'Omero</t>
  </si>
  <si>
    <t>Manoppello</t>
  </si>
  <si>
    <t>Fossacesia</t>
  </si>
  <si>
    <t>Sant'Eusanio Forconese</t>
  </si>
  <si>
    <t>Poggio Bustone</t>
  </si>
  <si>
    <t>Colmurano</t>
  </si>
  <si>
    <t>Force</t>
  </si>
  <si>
    <t>Monte Rinaldo</t>
  </si>
  <si>
    <t>Rovasenda</t>
  </si>
  <si>
    <t>Lignana</t>
  </si>
  <si>
    <t>Gifflenga</t>
  </si>
  <si>
    <t>Loranzè</t>
  </si>
  <si>
    <t>Issogne</t>
  </si>
  <si>
    <t>Lomazzo</t>
  </si>
  <si>
    <t>Pedesina</t>
  </si>
  <si>
    <t>Montebello della Battaglia</t>
  </si>
  <si>
    <t>Tavazzano con Villavesco</t>
  </si>
  <si>
    <t>Polesella</t>
  </si>
  <si>
    <t>Lorenzago di Cadore</t>
  </si>
  <si>
    <t>Torviscosa</t>
  </si>
  <si>
    <t>Magliolo</t>
  </si>
  <si>
    <t>Isolabona</t>
  </si>
  <si>
    <t>Isola del Cantone</t>
  </si>
  <si>
    <t>Mirabello</t>
  </si>
  <si>
    <t>Fossato di Vico</t>
  </si>
  <si>
    <t>Staffolo</t>
  </si>
  <si>
    <t>San Lorenzo Nuovo</t>
  </si>
  <si>
    <t>Greccio</t>
  </si>
  <si>
    <t>Ventotene</t>
  </si>
  <si>
    <t>Penne</t>
  </si>
  <si>
    <t>Gissi</t>
  </si>
  <si>
    <t>Santo Stefano di Sessanio</t>
  </si>
  <si>
    <t>Corridonia</t>
  </si>
  <si>
    <t>Maltignano</t>
  </si>
  <si>
    <t>Monte Vidon Corrado</t>
  </si>
  <si>
    <t>Saluggia</t>
  </si>
  <si>
    <t>Moncrivello</t>
  </si>
  <si>
    <t>Massazza</t>
  </si>
  <si>
    <t>Moncalieri</t>
  </si>
  <si>
    <t>Nus</t>
  </si>
  <si>
    <t>Mariano Comense</t>
  </si>
  <si>
    <t>Poggiridenti</t>
  </si>
  <si>
    <t>Parona</t>
  </si>
  <si>
    <t>Zelo Buon Persico</t>
  </si>
  <si>
    <t>Lozzo di Cadore</t>
  </si>
  <si>
    <t>Mallare</t>
  </si>
  <si>
    <t>Lucinasco</t>
  </si>
  <si>
    <t>Leivi</t>
  </si>
  <si>
    <t>Ostellato</t>
  </si>
  <si>
    <t>Gualdo Cattaneo</t>
  </si>
  <si>
    <t>Montegranaro</t>
  </si>
  <si>
    <t>Tarquinia</t>
  </si>
  <si>
    <t>Pratola Peligna</t>
  </si>
  <si>
    <t>Torano Nuovo</t>
  </si>
  <si>
    <t>Guardiagrele</t>
  </si>
  <si>
    <t>Scoppito</t>
  </si>
  <si>
    <t>Esanatoglia</t>
  </si>
  <si>
    <t>Montalto delle Marche</t>
  </si>
  <si>
    <t>Ortezzano</t>
  </si>
  <si>
    <t>San Germano Vercellese</t>
  </si>
  <si>
    <t>Quinto Vercellese</t>
  </si>
  <si>
    <t>Masserano</t>
  </si>
  <si>
    <t>Montalto Dora</t>
  </si>
  <si>
    <t>Pollein</t>
  </si>
  <si>
    <t>Montano Lucino</t>
  </si>
  <si>
    <t>Ponte in Valtellina</t>
  </si>
  <si>
    <t>San Genesio ed Uniti</t>
  </si>
  <si>
    <t>Salara</t>
  </si>
  <si>
    <t>Ospitale di Cadore</t>
  </si>
  <si>
    <t>Millesimo</t>
  </si>
  <si>
    <t>Pieve di Teco</t>
  </si>
  <si>
    <t>Mignanego</t>
  </si>
  <si>
    <t>Poggio Renatico</t>
  </si>
  <si>
    <t>Gualdo Tadino</t>
  </si>
  <si>
    <t>Magliano Sabina</t>
  </si>
  <si>
    <t>Raiano</t>
  </si>
  <si>
    <t>Popoli</t>
  </si>
  <si>
    <t>Lanciano</t>
  </si>
  <si>
    <t>Tione degli Abruzzi</t>
  </si>
  <si>
    <t>Rivodutri</t>
  </si>
  <si>
    <t>Fiastra</t>
  </si>
  <si>
    <t>Montedinove</t>
  </si>
  <si>
    <t>Santa Vittoria in Matenano</t>
  </si>
  <si>
    <t>Serravalle Sesia</t>
  </si>
  <si>
    <t>Mezzana Mortigliengo</t>
  </si>
  <si>
    <t>Nichelino</t>
  </si>
  <si>
    <t>Pontey</t>
  </si>
  <si>
    <t>Olgiate Comasco</t>
  </si>
  <si>
    <t>Postalesio</t>
  </si>
  <si>
    <t>Sant'Alessio con Vialone</t>
  </si>
  <si>
    <t>Stienta</t>
  </si>
  <si>
    <t>Perarolo di Cadore</t>
  </si>
  <si>
    <t>Ortovero</t>
  </si>
  <si>
    <t>Pontedassio</t>
  </si>
  <si>
    <t>Ne</t>
  </si>
  <si>
    <t>Sant'Agostino</t>
  </si>
  <si>
    <t>Gubbio</t>
  </si>
  <si>
    <t>Rosciano</t>
  </si>
  <si>
    <t>Miglianico</t>
  </si>
  <si>
    <t>Tornimparte</t>
  </si>
  <si>
    <t>Montegallo</t>
  </si>
  <si>
    <t>Servigliano</t>
  </si>
  <si>
    <t>Trino</t>
  </si>
  <si>
    <t>Salasco</t>
  </si>
  <si>
    <t>Mongrando</t>
  </si>
  <si>
    <t>Orbassano</t>
  </si>
  <si>
    <t>Pont-Saint-Martin</t>
  </si>
  <si>
    <t>Orsenigo</t>
  </si>
  <si>
    <t>Rogolo</t>
  </si>
  <si>
    <t>Torre d'Isola</t>
  </si>
  <si>
    <t>Pieve di Cadore</t>
  </si>
  <si>
    <t>Pontinvrea</t>
  </si>
  <si>
    <t>Pornassio</t>
  </si>
  <si>
    <t>Neirone</t>
  </si>
  <si>
    <t>Vigarano Mainarda</t>
  </si>
  <si>
    <t>Marsciano</t>
  </si>
  <si>
    <t>Fiuminata</t>
  </si>
  <si>
    <t>Montasola</t>
  </si>
  <si>
    <t>Scafa</t>
  </si>
  <si>
    <t>Monteodorisio</t>
  </si>
  <si>
    <t>Villa Santa Lucia degli Abruzzi</t>
  </si>
  <si>
    <t>Montemonaco</t>
  </si>
  <si>
    <t>Smerillo</t>
  </si>
  <si>
    <t>Varallo</t>
  </si>
  <si>
    <t>Sali Vercellese</t>
  </si>
  <si>
    <t>Mosso</t>
  </si>
  <si>
    <t>Ozegna</t>
  </si>
  <si>
    <t>Quart</t>
  </si>
  <si>
    <t>Rovellasca</t>
  </si>
  <si>
    <t>Sondalo</t>
  </si>
  <si>
    <t>Trivolzio</t>
  </si>
  <si>
    <t>Rocca Pietore</t>
  </si>
  <si>
    <t>Quiliano</t>
  </si>
  <si>
    <t>Prelà</t>
  </si>
  <si>
    <t>Ronco Scrivia</t>
  </si>
  <si>
    <t>Montefalco</t>
  </si>
  <si>
    <t>Gagliole</t>
  </si>
  <si>
    <t>Monte San Pietrangeli</t>
  </si>
  <si>
    <t>Montebuono</t>
  </si>
  <si>
    <t>Sante Marie</t>
  </si>
  <si>
    <t>Tocco da Casauria</t>
  </si>
  <si>
    <t>Mozzagrogna</t>
  </si>
  <si>
    <t>Villa Sant'Angelo</t>
  </si>
  <si>
    <t>Offida</t>
  </si>
  <si>
    <t>Mottalciata</t>
  </si>
  <si>
    <t>Pavone Canavese</t>
  </si>
  <si>
    <t>Roisan</t>
  </si>
  <si>
    <t>Turate</t>
  </si>
  <si>
    <t>Vigevano</t>
  </si>
  <si>
    <t>San Tomaso Agordino</t>
  </si>
  <si>
    <t>Roccavignale</t>
  </si>
  <si>
    <t>Rezzo</t>
  </si>
  <si>
    <t>San Colombano Certenoli</t>
  </si>
  <si>
    <t>Gualdo</t>
  </si>
  <si>
    <t>Monte Urano</t>
  </si>
  <si>
    <t>Ortona</t>
  </si>
  <si>
    <t>Palmiano</t>
  </si>
  <si>
    <t>Borriana</t>
  </si>
  <si>
    <t>Ponderano</t>
  </si>
  <si>
    <t>Pianezza</t>
  </si>
  <si>
    <t>Saint-Christophe</t>
  </si>
  <si>
    <t>Veniano</t>
  </si>
  <si>
    <t>Spriana</t>
  </si>
  <si>
    <t>Villanova d'Ardenghi</t>
  </si>
  <si>
    <t>Sedico</t>
  </si>
  <si>
    <t>Sassello</t>
  </si>
  <si>
    <t>Ventimiglia</t>
  </si>
  <si>
    <t>Sant'Olcese</t>
  </si>
  <si>
    <t>Monte Santa Maria Tiberina</t>
  </si>
  <si>
    <t>Loro Piceno</t>
  </si>
  <si>
    <t>Paglieta</t>
  </si>
  <si>
    <t>Roccafluvione</t>
  </si>
  <si>
    <t>Santhià</t>
  </si>
  <si>
    <t>Pray</t>
  </si>
  <si>
    <t>Rivalta di Torino</t>
  </si>
  <si>
    <t>Saint-Marcel</t>
  </si>
  <si>
    <t>Vertemate con Minoprio</t>
  </si>
  <si>
    <t>Talamona</t>
  </si>
  <si>
    <t>Voghera</t>
  </si>
  <si>
    <t>Selva di Cadore</t>
  </si>
  <si>
    <t>Vado Ligure</t>
  </si>
  <si>
    <t>Vessalico</t>
  </si>
  <si>
    <t>Serra Riccò</t>
  </si>
  <si>
    <t>Montone</t>
  </si>
  <si>
    <t>Stimigliano</t>
  </si>
  <si>
    <t>Sulmona</t>
  </si>
  <si>
    <t>Pennapiedimonte</t>
  </si>
  <si>
    <t>Rotella</t>
  </si>
  <si>
    <t>Tronzano Vercellese</t>
  </si>
  <si>
    <t>Soprana</t>
  </si>
  <si>
    <t>Rivarolo Canavese</t>
  </si>
  <si>
    <t>Saint-Vincent</t>
  </si>
  <si>
    <t>Colverde</t>
  </si>
  <si>
    <t>Teglio</t>
  </si>
  <si>
    <t>Zeccone</t>
  </si>
  <si>
    <t>Taibon Agordino</t>
  </si>
  <si>
    <t>Vezzi Portio</t>
  </si>
  <si>
    <t>Montalto Carpasio</t>
  </si>
  <si>
    <t>Torriglia</t>
  </si>
  <si>
    <t>Nocera Umbra</t>
  </si>
  <si>
    <t>Matelica</t>
  </si>
  <si>
    <t>Pedaso</t>
  </si>
  <si>
    <t>Tarano</t>
  </si>
  <si>
    <t>Trasacco</t>
  </si>
  <si>
    <t>Poggiofiorito</t>
  </si>
  <si>
    <t>Venarotta</t>
  </si>
  <si>
    <t>Villarboit</t>
  </si>
  <si>
    <t>Strona</t>
  </si>
  <si>
    <t>Rivoli</t>
  </si>
  <si>
    <t>Verrayes</t>
  </si>
  <si>
    <t>Tirano</t>
  </si>
  <si>
    <t>Zerbolò</t>
  </si>
  <si>
    <t>Vallada Agordina</t>
  </si>
  <si>
    <t>Villanova d'Albenga</t>
  </si>
  <si>
    <t>Tribogna</t>
  </si>
  <si>
    <t>Mogliano</t>
  </si>
  <si>
    <t>Porto San Giorgio</t>
  </si>
  <si>
    <t>Torri in Sabina</t>
  </si>
  <si>
    <t>San Giovanni Teatino</t>
  </si>
  <si>
    <t>Monte Cavallo</t>
  </si>
  <si>
    <t>Trivero</t>
  </si>
  <si>
    <t>Robassomero</t>
  </si>
  <si>
    <t>Verrès</t>
  </si>
  <si>
    <t>Tresivio</t>
  </si>
  <si>
    <t>Zinasco</t>
  </si>
  <si>
    <t>Valle di Cadore</t>
  </si>
  <si>
    <t>Zuccarello</t>
  </si>
  <si>
    <t>Valbrevenna</t>
  </si>
  <si>
    <t>Panicale</t>
  </si>
  <si>
    <t>Porto Sant'Elpidio</t>
  </si>
  <si>
    <t>Vacone</t>
  </si>
  <si>
    <t>San Martino sulla Marrucina</t>
  </si>
  <si>
    <t>Muccia</t>
  </si>
  <si>
    <t>Valdengo</t>
  </si>
  <si>
    <t>San Giorgio Canavese</t>
  </si>
  <si>
    <t>Valdisotto</t>
  </si>
  <si>
    <t>Corteolona e Genzone</t>
  </si>
  <si>
    <t>Longarone</t>
  </si>
  <si>
    <t>Passignano sul Trasimeno</t>
  </si>
  <si>
    <t>Montecosaro</t>
  </si>
  <si>
    <t>Rapagnano</t>
  </si>
  <si>
    <t>San Salvo</t>
  </si>
  <si>
    <t>Monte San Martino</t>
  </si>
  <si>
    <t>Pieve Torina</t>
  </si>
  <si>
    <t>Anzola d'Ossola</t>
  </si>
  <si>
    <t>Verbano-Cusio-Ossola</t>
  </si>
  <si>
    <t>Valle Mosso</t>
  </si>
  <si>
    <t>Scarmagno</t>
  </si>
  <si>
    <t>Vervio</t>
  </si>
  <si>
    <t>Val di Zoldo</t>
  </si>
  <si>
    <t>Piegaro</t>
  </si>
  <si>
    <t>Monte San Giusto</t>
  </si>
  <si>
    <t>Santa Maria Imbaro</t>
  </si>
  <si>
    <t>Pioraco</t>
  </si>
  <si>
    <t>Beura-Cardezza</t>
  </si>
  <si>
    <t>Verrone</t>
  </si>
  <si>
    <t>Strambino</t>
  </si>
  <si>
    <t>Villa di Tirano</t>
  </si>
  <si>
    <t>Sant'Elpidio a Mare</t>
  </si>
  <si>
    <t>Torrevecchia Teatina</t>
  </si>
  <si>
    <t>Penna San Giovanni</t>
  </si>
  <si>
    <t>San Ginesio</t>
  </si>
  <si>
    <t>Domodossola</t>
  </si>
  <si>
    <t>Vigliano Biellese</t>
  </si>
  <si>
    <t>Vacri</t>
  </si>
  <si>
    <t>Petriolo</t>
  </si>
  <si>
    <t>San Severino Marche</t>
  </si>
  <si>
    <t>Gravellona Toce</t>
  </si>
  <si>
    <t>Villanova Biellese</t>
  </si>
  <si>
    <t>Venaria Reale</t>
  </si>
  <si>
    <t>Vasto</t>
  </si>
  <si>
    <t>Sarnano</t>
  </si>
  <si>
    <t>Omegna</t>
  </si>
  <si>
    <t>Lessona</t>
  </si>
  <si>
    <t>Vialfrè</t>
  </si>
  <si>
    <t>Torre San Patrizio</t>
  </si>
  <si>
    <t>Villamagna</t>
  </si>
  <si>
    <t>Serrapetrona</t>
  </si>
  <si>
    <t>Ornavasso</t>
  </si>
  <si>
    <t>Tolentino</t>
  </si>
  <si>
    <t>Pallanzeno</t>
  </si>
  <si>
    <t>Poggio San Vicino</t>
  </si>
  <si>
    <t>Valfornace</t>
  </si>
  <si>
    <t>Premosello-Chiovenda</t>
  </si>
  <si>
    <t>Trevi</t>
  </si>
  <si>
    <t>Pollenza</t>
  </si>
  <si>
    <t>Visso</t>
  </si>
  <si>
    <t>Quarna Sotto</t>
  </si>
  <si>
    <t>Umbertide</t>
  </si>
  <si>
    <t>Ripe San Ginesio</t>
  </si>
  <si>
    <t>Ussita</t>
  </si>
  <si>
    <t>Villadossola</t>
  </si>
  <si>
    <t>Potenza Picena</t>
  </si>
  <si>
    <t>Valle d'Aosta</t>
  </si>
  <si>
    <t>Valle d'Aosta/Vallée d'Aoste</t>
  </si>
  <si>
    <t>Bard</t>
  </si>
  <si>
    <t>Sant'Angelo in Pontano</t>
  </si>
  <si>
    <t>Sefro</t>
  </si>
  <si>
    <t>Serravalle di Chienti</t>
  </si>
  <si>
    <t>Treia</t>
  </si>
  <si>
    <t>Issime</t>
  </si>
  <si>
    <t>Urbisaglia</t>
  </si>
  <si>
    <t>Lillianes</t>
  </si>
  <si>
    <t>Arsago Seprio</t>
  </si>
  <si>
    <t>Varese</t>
  </si>
  <si>
    <t>Cardano al Campo</t>
  </si>
  <si>
    <t>Casorate Sempione</t>
  </si>
  <si>
    <t>Somma Lombardo</t>
  </si>
  <si>
    <t>Vergiate</t>
  </si>
  <si>
    <t>Vizzola Ticino</t>
  </si>
  <si>
    <t>Cambiago</t>
  </si>
  <si>
    <t>Milano</t>
  </si>
  <si>
    <t>Fombio</t>
  </si>
  <si>
    <t>Guardamiglio</t>
  </si>
  <si>
    <t>Livraga</t>
  </si>
  <si>
    <t>Orio Litta</t>
  </si>
  <si>
    <t>San Fiorano</t>
  </si>
  <si>
    <t>San Rocco al Porto</t>
  </si>
  <si>
    <t>Santo Stefano Lodigiano</t>
  </si>
  <si>
    <t>Senna Lodigiana</t>
  </si>
  <si>
    <t>Somaglia</t>
  </si>
  <si>
    <t>Castelgerundo</t>
  </si>
  <si>
    <t>Burago di Molgora</t>
  </si>
  <si>
    <t>Monza e della Brianza</t>
  </si>
  <si>
    <t>Cavenago di Brianza</t>
  </si>
  <si>
    <t>Concorezzo</t>
  </si>
  <si>
    <t>Vimercate</t>
  </si>
  <si>
    <t>Bagnolo di Po</t>
  </si>
  <si>
    <t>Fiesso Umbertiano</t>
  </si>
  <si>
    <t>Trecenta</t>
  </si>
  <si>
    <t>Friuli-Venezia Giulia</t>
  </si>
  <si>
    <t>Pravisdomini</t>
  </si>
  <si>
    <t>Acciano</t>
  </si>
  <si>
    <t>Barete</t>
  </si>
  <si>
    <t>Barisciano</t>
  </si>
  <si>
    <t>Bugnara</t>
  </si>
  <si>
    <t>Cagnano Amiterno</t>
  </si>
  <si>
    <t>Capestrano</t>
  </si>
  <si>
    <t>Caporciano</t>
  </si>
  <si>
    <t>Carapelle Calvisio</t>
  </si>
  <si>
    <t>Emilia-Romagna</t>
  </si>
  <si>
    <t>Castel di Ieri</t>
  </si>
  <si>
    <t>Castelvecchio Calvisio</t>
  </si>
  <si>
    <t>Castelvecchio Subequo</t>
  </si>
  <si>
    <t>Cocullo</t>
  </si>
  <si>
    <t>Massa-Carrara</t>
  </si>
  <si>
    <t>Collarmele</t>
  </si>
  <si>
    <t>Casola in Lunigiana</t>
  </si>
  <si>
    <t>Fagnano Alto</t>
  </si>
  <si>
    <t>Comano</t>
  </si>
  <si>
    <t>Fontecchio</t>
  </si>
  <si>
    <t>Fivizzano</t>
  </si>
  <si>
    <t>Gagliano Aterno</t>
  </si>
  <si>
    <t>Goriano Sicoli</t>
  </si>
  <si>
    <t>San Vincenzo</t>
  </si>
  <si>
    <t>Lucoli</t>
  </si>
  <si>
    <t>Suvereto</t>
  </si>
  <si>
    <t>Campli</t>
  </si>
  <si>
    <t>Carassai</t>
  </si>
  <si>
    <t>Castel Castagna</t>
  </si>
  <si>
    <t>Castelli</t>
  </si>
  <si>
    <t>Civitella del Tronto</t>
  </si>
  <si>
    <t>Colledara</t>
  </si>
  <si>
    <t>Crognaleto</t>
  </si>
  <si>
    <t>Fano Adriano</t>
  </si>
  <si>
    <t>Isola del Gran Sasso d'Italia</t>
  </si>
  <si>
    <t>Montorio al Vomano</t>
  </si>
  <si>
    <t>Penna Sant'Andrea</t>
  </si>
  <si>
    <t>Pietracamela</t>
  </si>
  <si>
    <t>Rocca Santa Maria</t>
  </si>
  <si>
    <t>Tossicia</t>
  </si>
  <si>
    <t>Brittoli</t>
  </si>
  <si>
    <t>Cugnoli</t>
  </si>
  <si>
    <t>Montebello di Bertona</t>
  </si>
  <si>
    <t>Torre de' Passeri</t>
  </si>
  <si>
    <t>Cantalupo in Sabina</t>
  </si>
  <si>
    <t>Forano</t>
  </si>
  <si>
    <t>Poggio Catino</t>
  </si>
  <si>
    <t>Roccantica</t>
  </si>
  <si>
    <t>Selci</t>
  </si>
  <si>
    <t>Collepietro</t>
  </si>
  <si>
    <t>Pescosansonesco</t>
  </si>
  <si>
    <t>Pietranico</t>
  </si>
  <si>
    <t>Salle</t>
  </si>
  <si>
    <t>Turrivalignani</t>
  </si>
  <si>
    <t>Bojano</t>
  </si>
  <si>
    <t>Molise</t>
  </si>
  <si>
    <t>Campobasso</t>
  </si>
  <si>
    <t>Campochiaro</t>
  </si>
  <si>
    <t>Campomarino</t>
  </si>
  <si>
    <t>Duronia</t>
  </si>
  <si>
    <t>Guardiaregia</t>
  </si>
  <si>
    <t>Guglionesi</t>
  </si>
  <si>
    <t>Larino</t>
  </si>
  <si>
    <t>Mafalda</t>
  </si>
  <si>
    <t>Montefalcone nel Sannio</t>
  </si>
  <si>
    <t>Montemitro</t>
  </si>
  <si>
    <t>Montenero di Bisaccia</t>
  </si>
  <si>
    <t>Petacciato</t>
  </si>
  <si>
    <t>Portocannone</t>
  </si>
  <si>
    <t>Ripalimosani</t>
  </si>
  <si>
    <t>Roccavivara</t>
  </si>
  <si>
    <t>Salcito</t>
  </si>
  <si>
    <t>San Felice del Molise</t>
  </si>
  <si>
    <t>San Giacomo degli Schiavoni</t>
  </si>
  <si>
    <t>San Martino in Pensilis</t>
  </si>
  <si>
    <t>San Massimo</t>
  </si>
  <si>
    <t>San Polo Matese</t>
  </si>
  <si>
    <t>Termoli</t>
  </si>
  <si>
    <t>Trivento</t>
  </si>
  <si>
    <t>Vinchiaturo</t>
  </si>
  <si>
    <t>Agnone</t>
  </si>
  <si>
    <t>Isernia</t>
  </si>
  <si>
    <t>Bagnoli del Trigno</t>
  </si>
  <si>
    <t>Belmonte del Sannio</t>
  </si>
  <si>
    <t>Cantalupo nel Sannio</t>
  </si>
  <si>
    <t>Capracotta</t>
  </si>
  <si>
    <t>Carpinone</t>
  </si>
  <si>
    <t>Castel del Giudice</t>
  </si>
  <si>
    <t>Castelpetroso</t>
  </si>
  <si>
    <t>Castelpizzuto</t>
  </si>
  <si>
    <t>Civitanova del Sannio</t>
  </si>
  <si>
    <t>Conca Casale</t>
  </si>
  <si>
    <t>Frosolone</t>
  </si>
  <si>
    <t>Longano</t>
  </si>
  <si>
    <t>Macchia d'Isernia</t>
  </si>
  <si>
    <t>Montaquila</t>
  </si>
  <si>
    <t>Monteroduni</t>
  </si>
  <si>
    <t>Pescopennataro</t>
  </si>
  <si>
    <t>Pettoranello del Molise</t>
  </si>
  <si>
    <t>Poggio Sannita</t>
  </si>
  <si>
    <t>Pozzilli</t>
  </si>
  <si>
    <t>Roccamandolfi</t>
  </si>
  <si>
    <t>Sant'Agapito</t>
  </si>
  <si>
    <t>Santa Maria del Molise</t>
  </si>
  <si>
    <t>Sant'Angelo del Pesco</t>
  </si>
  <si>
    <t>Sesto Campano</t>
  </si>
  <si>
    <t>Venafro</t>
  </si>
  <si>
    <t>Proposta di calcolo di contributi 
(da allegare al format di domanda)</t>
  </si>
  <si>
    <r>
      <rPr>
        <b/>
        <i/>
        <u/>
        <sz val="20"/>
        <color theme="1"/>
        <rFont val="Calibri"/>
        <family val="2"/>
      </rPr>
      <t>IMPORTANTE</t>
    </r>
    <r>
      <rPr>
        <b/>
        <i/>
        <sz val="20"/>
        <color theme="1"/>
        <rFont val="Calibri"/>
        <family val="2"/>
      </rPr>
      <t xml:space="preserve">: </t>
    </r>
    <r>
      <rPr>
        <b/>
        <i/>
        <sz val="14"/>
        <color theme="1"/>
        <rFont val="Calibri"/>
        <family val="2"/>
      </rPr>
      <t>CONFIGURA IL CONTRIBUTO FINANZIARIO CHE VUOI RICHIEDERE, COMPILA LE CELLE AZZURRE SEGUENDO I 4 PASSAGGI</t>
    </r>
  </si>
  <si>
    <t>Comuni colpiti maggiormente</t>
  </si>
  <si>
    <t>REGIONE SEDE INIZIATIVA</t>
  </si>
  <si>
    <t>PROVINCIA/UNITA' TERRITORIALE</t>
  </si>
  <si>
    <t>COMUNE</t>
  </si>
  <si>
    <t>*Questi campi sono opzionali, se selezionati saranno sottoposti a verifica da parte dell'Agenzia</t>
  </si>
  <si>
    <t>LOCALIZZAZIONE</t>
  </si>
  <si>
    <t>CONTROLLO Art. 107.3.a</t>
  </si>
  <si>
    <t>CONTROLLO Art. 107.3.c</t>
  </si>
  <si>
    <t>SEDE IN ZONA A P.R.G.*</t>
  </si>
  <si>
    <t>*Compagine sociale da donna e uomini under 36</t>
  </si>
  <si>
    <t>*IMPRESA INNOVATIVA ISCRITTA NELL'APPOSITA SEZIONE DEL REGISTRO DELLE IMPRESE</t>
  </si>
  <si>
    <t>NO</t>
  </si>
  <si>
    <t>MACROVOCE INVESTIMENTI</t>
  </si>
  <si>
    <t>IMPONIBILE STIMA INVESTIMENTO €</t>
  </si>
  <si>
    <t>INVESTIMENTO AMMISSIBILE</t>
  </si>
  <si>
    <t>% AMMISSIBILITA' NORMATIVA</t>
  </si>
  <si>
    <t>% STIMA PROPONENTE</t>
  </si>
  <si>
    <t>Brevetti, Licenze e Marchi</t>
  </si>
  <si>
    <t>TOT. INVESTIMENTI</t>
  </si>
  <si>
    <t>GESTIONE STIMA €</t>
  </si>
  <si>
    <t>GESTIONE AMMISSIBILE</t>
  </si>
  <si>
    <t>% NORMATIVA</t>
  </si>
  <si>
    <t>%</t>
  </si>
  <si>
    <t xml:space="preserve">INVESTIMENTO AMMISSIBILE </t>
  </si>
  <si>
    <t>AMMISSIBILE TOT. (INV + GESTIONE)</t>
  </si>
  <si>
    <t>RICHIESTA AIUTI</t>
  </si>
  <si>
    <t>% UTILIZZO AIUTO NITO (max 90%)</t>
  </si>
  <si>
    <t>CONCEDIBILE MAX</t>
  </si>
  <si>
    <t xml:space="preserve">% UTILIZZO MAX </t>
  </si>
  <si>
    <t>% UTILIZZO art. 22</t>
  </si>
  <si>
    <t>valori negativi</t>
  </si>
  <si>
    <t>controllo</t>
  </si>
  <si>
    <t xml:space="preserve">Eccedi il valore massimo richiedibile di  </t>
  </si>
  <si>
    <t>PUOI ANCORA CHIEDERE A MUTUO</t>
  </si>
  <si>
    <t xml:space="preserve">Eccedi il valore massimo richiedibile per il mutuo di € </t>
  </si>
  <si>
    <t>IMPORTO RICHIESTO A MUTUO</t>
  </si>
  <si>
    <t xml:space="preserve">Eccedi il valore massimo richiedibile per il fondo perduto di € </t>
  </si>
  <si>
    <t>PUOI ANCORA CHIEDERE A FONDO PERDUTO</t>
  </si>
  <si>
    <t>Verificare modello ON, frasi in calce per PDF</t>
  </si>
  <si>
    <t>IMPORTO RICHIESTO A FONDO PERDUTO</t>
  </si>
  <si>
    <t>TOT. COPERTURA FINANZIARIA</t>
  </si>
  <si>
    <t>VINCOLI</t>
  </si>
  <si>
    <t>% MUTUO</t>
  </si>
  <si>
    <t>€ MUTUO</t>
  </si>
  <si>
    <t>% SPESE GESTIONE</t>
  </si>
  <si>
    <t xml:space="preserve">% FONDO PERDUTO </t>
  </si>
  <si>
    <t>€ FONDO PERDUTO</t>
  </si>
  <si>
    <t xml:space="preserve">% LEGGE </t>
  </si>
  <si>
    <t>=ARROTONDA(SE(E(C28=0;C30=0);E27;
SE(C30=0;E27-C28;
SE(O(((C34-D30-D28)*C21)+C28&gt;E27;((C34-D30-D28)*C21)+C28&gt;((1-G28)*C35));MIN(E27-C28;((1-G28-G27)*C35));(C34-D30-D28)*C21)));2)</t>
  </si>
  <si>
    <t>=SE(E(C30=0;C28=0);E28;
SE(C28=0;E28-C30;
SE(((C34-D30-D28)*C21)+C30&gt;E28;E28-C30;(C34-D30-D28)*C21)))</t>
  </si>
  <si>
    <t xml:space="preserve">SPESE AMMISSIBILI MASSIME </t>
  </si>
  <si>
    <t>=ARROTONDA(SE(E(C30=0;C32=0);E30;
SE(C32=0;E30-C30;
SE(O(((C36-D32-D30)*C23)+C32&gt;E30;((C36-D32-D30)*C23)+C32&gt;((1-G30-G29)*C37));MIN(E30-C30;((1-G30-G29)*C37));(C36-D32-D30)*C23)));2)</t>
  </si>
  <si>
    <t>SPESE AMMISSIBILI VINCOLO MINIMO</t>
  </si>
  <si>
    <t>Vincolo circolare 50% (on su bilanciamento mutuo e FP)</t>
  </si>
  <si>
    <t>REGIONE</t>
  </si>
  <si>
    <t>Basilicata</t>
  </si>
  <si>
    <t>Calabria</t>
  </si>
  <si>
    <t>Campania</t>
  </si>
  <si>
    <t>Puglia</t>
  </si>
  <si>
    <t>Sardegna</t>
  </si>
  <si>
    <t>Sicilia</t>
  </si>
  <si>
    <t>Trentino Alto Adige</t>
  </si>
  <si>
    <t>Valle d Aosta</t>
  </si>
  <si>
    <t>NEUTRA</t>
  </si>
  <si>
    <t>Art. 107.3.c</t>
  </si>
  <si>
    <t>Art. 107.3.a</t>
  </si>
  <si>
    <t>Occorre stampare il PDF della "Proposta di calcolo" che deve essere sottoscritto e caricata nell'upload degli allegati alla domanda on line</t>
  </si>
  <si>
    <t>=SE(O(C30+C32=0;C29&lt;0;C31&lt;0)=VERO;"";CONCAT("La combinazione di aiuti che hai selezionato garantisce una copertura del";" ";E33;"%., ";"dovrai garantire la copertura di ";TESTO(E29;"€ #.##0,00");".";SE(C32&lt;&gt;0;CONCAT(" Nel caso in cui i fondi per il fondo perduto fossero esauriti, ti verrà riconosciuta la possibilità di ottenere il mutuo a tasso zero per l'importo massimo di ";TESTO(E29;"€ #.##0,00");" al netto della disponibilità di fondi.");"")))</t>
  </si>
  <si>
    <t>MUTUO €</t>
  </si>
  <si>
    <t>FP €</t>
  </si>
  <si>
    <t>Copertura tot. %</t>
  </si>
  <si>
    <t>% FP</t>
  </si>
  <si>
    <t xml:space="preserve">Opere murarie e assimilate </t>
  </si>
  <si>
    <t>Programmi informatici e servizi per le tecnologie</t>
  </si>
  <si>
    <t>Oneri connessi alla stipula del contratto di finanziamento agevolato o/e alla costituzione della società</t>
  </si>
  <si>
    <t>Gestione</t>
  </si>
  <si>
    <t>AMMESSO</t>
  </si>
  <si>
    <t>EROGABILE MUTUO</t>
  </si>
  <si>
    <t>EROGABILE FONDO PERDUTO</t>
  </si>
  <si>
    <r>
      <rPr>
        <b/>
        <u/>
        <sz val="16"/>
        <color theme="1"/>
        <rFont val="Calibri"/>
        <family val="2"/>
      </rPr>
      <t>IMPORTANTE</t>
    </r>
    <r>
      <rPr>
        <b/>
        <sz val="16"/>
        <color theme="1"/>
        <rFont val="Calibri"/>
        <family val="2"/>
      </rPr>
      <t xml:space="preserve">: </t>
    </r>
    <r>
      <rPr>
        <b/>
        <sz val="11"/>
        <color theme="1"/>
        <rFont val="Calibri"/>
        <family val="2"/>
      </rPr>
      <t>COMPILARE SOLO LE SEZIONI IN AZZURRO E SUCCESSIVAMENTE CLICCARE SUL REGIME DI AIUTO DESIDERATO</t>
    </r>
  </si>
  <si>
    <t>Comuni maggiormente colpiti</t>
  </si>
  <si>
    <t>DIMENSIONE IMPRESA</t>
  </si>
  <si>
    <t>*Micro, piccole e medie imprese come definite dalla Raccomandazione della Commissione europea 2003/361/CE del 6 maggio 2003, dal decreto del Ministro dello sviluppo economico 18 aprile 2005 e dall’allegato l del Regolamento GBER</t>
  </si>
  <si>
    <t>Articolo 107. c</t>
  </si>
  <si>
    <t>SEDE IN ZONA A P.R.G.</t>
  </si>
  <si>
    <t>Variare copertura max dal 80 al 90 % solo su Temporary e GBER 17</t>
  </si>
  <si>
    <t>Compagine sociale da donna e uomini under 36</t>
  </si>
  <si>
    <t>Sede legale e operativa nelle aree del cratere alla data del 18/01/2017</t>
  </si>
  <si>
    <t>Progetti di trasmissione di impresa, con la possibilità di rilevare le aziende che favoriscano il ricambio generazionale nelle aziende</t>
  </si>
  <si>
    <t>Verifica le possibili combinazioni di agevolazioni richiedibili in relazione ai diversi Regimi d'aiuto previsti dall'ordinanza n. 25 del 30 giugno 2022</t>
  </si>
  <si>
    <t>Tutta la modulistica e i file di calcolo possono essere soggetti ad aggiornamenti. Utilizzare l'ultima versione disponibile presente sul sito al momento dell'invio della domanda.
Documento da produrre in formato pdf nativo firmato digitalmente dal rappresentante legale ovvero dal referente del progetto e da caricare nell'upload degli allegati alla domanda online insieme al file Excel.</t>
  </si>
  <si>
    <t>Preventivo o Fattura</t>
  </si>
  <si>
    <t>N. Preventivo o Fattura</t>
  </si>
  <si>
    <t>Descrizone</t>
  </si>
  <si>
    <t xml:space="preserve">Macrovoce di spesa </t>
  </si>
  <si>
    <t>SELEZIONA REGIME DI AIUTO</t>
  </si>
  <si>
    <t>QUADRO TEMPORANEO UCRAINA</t>
  </si>
  <si>
    <t>Da togliere</t>
  </si>
  <si>
    <t>VUOI RIDURRE LA COPERTURA AL TUO INVESTIMENTO RICHIEDENDO SOLO IL F.P.?</t>
  </si>
  <si>
    <t>da togliere</t>
  </si>
  <si>
    <t>Vincoli Temporary</t>
  </si>
  <si>
    <t>Coperturta massima ammissibile</t>
  </si>
  <si>
    <t>Premialità  zona C</t>
  </si>
  <si>
    <t>DIMENSIONE</t>
  </si>
  <si>
    <t>FONDO PERDUTO VETTORE</t>
  </si>
  <si>
    <t>PREMIALITA'</t>
  </si>
  <si>
    <t>SOLO F.P.</t>
  </si>
  <si>
    <t>MICRO - PICCOLA</t>
  </si>
  <si>
    <t>DA ELIMINARE</t>
  </si>
  <si>
    <t>Senza premialità</t>
  </si>
  <si>
    <t>dimensione</t>
  </si>
  <si>
    <t>con mutuo</t>
  </si>
  <si>
    <t>senza mutuo</t>
  </si>
  <si>
    <t>Con premialità</t>
  </si>
  <si>
    <t>con mutuo (varia premialità)</t>
  </si>
  <si>
    <t>senza mutuo (varia premialità)</t>
  </si>
  <si>
    <t>VINCOLO FP</t>
  </si>
  <si>
    <t>UCRAINA</t>
  </si>
  <si>
    <t>MICRO PICCOLA</t>
  </si>
  <si>
    <t>MAX CONCEDIBILE UCRAINA</t>
  </si>
  <si>
    <t>CONCEDIBILE MASSIMO</t>
  </si>
  <si>
    <t>MUTUO MASSIMO</t>
  </si>
  <si>
    <t>FONDO PERDUTO MASSIMO</t>
  </si>
  <si>
    <t>MUTUO RESIDUO</t>
  </si>
  <si>
    <t>MUTUO RICHIESTO</t>
  </si>
  <si>
    <t>Importo residuo per 80%</t>
  </si>
  <si>
    <t>FONDO PERDUTO RESIDUO</t>
  </si>
  <si>
    <t>FONDO PERDUTO RICHIESTO</t>
  </si>
  <si>
    <t>Copertura % su ammissibile richiesta</t>
  </si>
  <si>
    <t>NELLA MACROVOCE "OPERE MURARIE" SONO PREVISTE SPESE INERENTI AD UNA NUOVA COSTRUZIONE SULLA QUALE SARA' EVENTUALMENTE ISCRITTA IPOTECA?</t>
  </si>
  <si>
    <t>Dimensione</t>
  </si>
  <si>
    <t>Zona c</t>
  </si>
  <si>
    <t>% AMMISSIBILI</t>
  </si>
  <si>
    <t>Vettore Regime</t>
  </si>
  <si>
    <t>Temporary</t>
  </si>
  <si>
    <t>riconfigurata come da Temporary</t>
  </si>
  <si>
    <t>amm per FP</t>
  </si>
  <si>
    <t>TOT. AMMISSIBILE FP BASE DI CALCOLO</t>
  </si>
  <si>
    <t>INV. MAX</t>
  </si>
  <si>
    <t>AMM. TOT.</t>
  </si>
  <si>
    <t>TOT. AMMISSIBILE MUTUO BASE DI CALCOLO</t>
  </si>
  <si>
    <t>Variare % mutuo coperture anche nel foglio esl</t>
  </si>
  <si>
    <t>MUTUO</t>
  </si>
  <si>
    <t>variabile</t>
  </si>
  <si>
    <t>variabile su richiesta di solo FP</t>
  </si>
  <si>
    <t>COP. TOT</t>
  </si>
  <si>
    <t>variabile secondo le 4 premialità</t>
  </si>
  <si>
    <t>ESL COMPLESSIVO</t>
  </si>
  <si>
    <t>variabile dimensione</t>
  </si>
  <si>
    <t>inutile perché nascosto</t>
  </si>
  <si>
    <t>CELLE SALMONE RIPORTARE IN TUTTI I FILE</t>
  </si>
  <si>
    <t>Rating</t>
  </si>
  <si>
    <t>includi medie</t>
  </si>
  <si>
    <t>CLICCANDO QUI POTRAI TROVARE IL TASSO ATTUALMENTE IN VIGORE PER L'ITALIA</t>
  </si>
  <si>
    <t>I PUNTI BASE CONNESSI AL RATING DELLA DOMANDA NON POSSONO ESSERE DEFINITI CON CERTEZZA DIPENDENDO DA RIFERIMENTI LOGICI CIRCOLARI FRA VARIABILE DIPENDENTE E INDIPENDENTI. DAI DATI INSERITI LA DOMANDA RISULTA CORRELATA AI PUNTI BASE SOTTO INDICATI. NELLA CELLA AZZURRA INSERIRE IL VALORE ESATTO, ESPRESSIONE DEL MARGINE DA APPLICARE AL TASSO BASE</t>
  </si>
  <si>
    <t>TASSO BASE</t>
  </si>
  <si>
    <t>N° SAL MAX</t>
  </si>
  <si>
    <t>media D</t>
  </si>
  <si>
    <t>Imputare il rischio minimo per tipologia di garanzia?</t>
  </si>
  <si>
    <t>nel file dei proponenti la media di D è fissata prudenzialmente a 6 sostituendo la formula presente nel file in uso all'istruttore. Cambiate le formule della tabella rating</t>
  </si>
  <si>
    <t>INDICARE LE PREVISIONI DI RENDICONTAZIONE DELLA SPESA PER SAL SU BASE TRIMESTRALE</t>
  </si>
  <si>
    <t>TRIMESTRE</t>
  </si>
  <si>
    <t>% INVESTIMENTO RENDICONTATO</t>
  </si>
  <si>
    <t>DATE SAL</t>
  </si>
  <si>
    <t>%SAL</t>
  </si>
  <si>
    <t>FP MAX</t>
  </si>
  <si>
    <t>MUTUO MAX</t>
  </si>
  <si>
    <t>INV. AMM</t>
  </si>
  <si>
    <t>I ANNO</t>
  </si>
  <si>
    <t>I TRIMESTRE</t>
  </si>
  <si>
    <t>II TRIMESTRE</t>
  </si>
  <si>
    <t>III TIMESTRE</t>
  </si>
  <si>
    <t>IV TRIMESTRE</t>
  </si>
  <si>
    <t>II ANNO</t>
  </si>
  <si>
    <t>Integrazione ESL</t>
  </si>
  <si>
    <t>NON CONSIDERA IL VINCOLO ESL !!!</t>
  </si>
  <si>
    <t>Micro/Piccola</t>
  </si>
  <si>
    <t>max scenario</t>
  </si>
  <si>
    <t>per arrivare all'ESL previsto da normativa</t>
  </si>
  <si>
    <t>MUTUO MAX RICHIEDIBILE</t>
  </si>
  <si>
    <t>Media</t>
  </si>
  <si>
    <t>MAX</t>
  </si>
  <si>
    <t>ESL MUTUO</t>
  </si>
  <si>
    <t>Zona C</t>
  </si>
  <si>
    <t>TOT.</t>
  </si>
  <si>
    <t>SOMMA</t>
  </si>
  <si>
    <t>ESL FP</t>
  </si>
  <si>
    <t>FONDO PERDUTO MAX RICHIEDIBILE</t>
  </si>
  <si>
    <t>mettere valori massimi, riproporzionati a valle</t>
  </si>
  <si>
    <t>RIFERIMENTO NORMATIVO PER 5 SAL</t>
  </si>
  <si>
    <t>CONTA SAL</t>
  </si>
  <si>
    <t>SAL NEGATIVI</t>
  </si>
  <si>
    <t>COP. FIN. INV. AMM.</t>
  </si>
  <si>
    <t>Valore assoluto ESL</t>
  </si>
  <si>
    <t>% ESL PER VOCE</t>
  </si>
  <si>
    <t>RESIDUO VAL. ASS</t>
  </si>
  <si>
    <t>RES. 90% COP</t>
  </si>
  <si>
    <t>RES ESL</t>
  </si>
  <si>
    <t>ESL TOT. REALE</t>
  </si>
  <si>
    <t>UTILIZZATO</t>
  </si>
  <si>
    <t xml:space="preserve">FONDO PERDUTO RICHIESTO </t>
  </si>
  <si>
    <t>Valore assoluto ESL realizzato (MUTUO e FP)</t>
  </si>
  <si>
    <t>RESIDUO</t>
  </si>
  <si>
    <t>NORMATIVA DI RIFERIMENTO</t>
  </si>
  <si>
    <t>Valore fisso da nascondere</t>
  </si>
  <si>
    <t>Se l'impresa non è costituita inserire nella cella "DATA COSTITUZIONE" la stessa data imputata nella cella relativa alla "DATA PRESENTAZIONE DOMANDA".</t>
  </si>
  <si>
    <t>DATI PIANO D'IMPRESA</t>
  </si>
  <si>
    <t>ripartiz.</t>
  </si>
  <si>
    <t>Imponibile stima investimento</t>
  </si>
  <si>
    <t>IVA e altri oneri sugli impieghi</t>
  </si>
  <si>
    <t>Inserire disponibilità massime per il progetto, in grado di far fronte ad eventuali rimodulazioni dell'agevolazioni concedibili</t>
  </si>
  <si>
    <t>Tutta la modulistica e i file di calcolo possono essere soggetti ad aggiornamenti. Utilizzare l'ultima versione disponibile presente sul sito al momento dell'invio della domanda. Documento da produrre in formato pdf nativo firmato digitalmente dal rappresentante legale ovvero dal referente del progetto e da caricare nell'upload degli allegati alla domanda online insieme al file Excel.</t>
  </si>
  <si>
    <t>INPUT</t>
  </si>
  <si>
    <t>BENEFICIO ATTUALIZZATO CONTRIBUTO C/INTERESSI</t>
  </si>
  <si>
    <t>MODELLO ATTUALE</t>
  </si>
  <si>
    <t>MODELLO 2.0</t>
  </si>
  <si>
    <t>I PAGAMENTO</t>
  </si>
  <si>
    <t>II PAGAMENTO</t>
  </si>
  <si>
    <t>III PAGAMENTO</t>
  </si>
  <si>
    <t>IV PAGAMENTO</t>
  </si>
  <si>
    <t>V PAGAMENTO</t>
  </si>
  <si>
    <t>VI PAGAMENTO</t>
  </si>
  <si>
    <t>Durata realizzazione investimento (mesi)</t>
  </si>
  <si>
    <t>I ABB annuo</t>
  </si>
  <si>
    <t>FONDO PERDUTO</t>
  </si>
  <si>
    <t xml:space="preserve">% finanziamento agevolato </t>
  </si>
  <si>
    <t>Fin. Concesso t1</t>
  </si>
  <si>
    <t>n rata</t>
  </si>
  <si>
    <t>interessi</t>
  </si>
  <si>
    <t>rata</t>
  </si>
  <si>
    <t>debito residuo</t>
  </si>
  <si>
    <t>quota capitale</t>
  </si>
  <si>
    <t>Fin. Concesso t2</t>
  </si>
  <si>
    <t>I ATT annuo</t>
  </si>
  <si>
    <t>I ATT sem</t>
  </si>
  <si>
    <t>DURATA MUTUO ANNI</t>
  </si>
  <si>
    <t>Tot. Assoluto</t>
  </si>
  <si>
    <t>ANNI</t>
  </si>
  <si>
    <t>I ABB sem</t>
  </si>
  <si>
    <t>Durata mutuo anni</t>
  </si>
  <si>
    <t>Realizzazione investimenti</t>
  </si>
  <si>
    <t>Erogazione mutuo</t>
  </si>
  <si>
    <t>N° rate nell'anno (semestrale)</t>
  </si>
  <si>
    <t>DATA VALUTA</t>
  </si>
  <si>
    <t>INVESTIMENTO EROG.</t>
  </si>
  <si>
    <t>gg dalla I rata del mutuo</t>
  </si>
  <si>
    <t>gg I rata</t>
  </si>
  <si>
    <t xml:space="preserve">taso equivalente I rata </t>
  </si>
  <si>
    <t>gg pre amm.to</t>
  </si>
  <si>
    <t>Semestri fra inizio investimento e valuta</t>
  </si>
  <si>
    <t>Inv. Ammesso</t>
  </si>
  <si>
    <t>Inv. Amm. Attualizz</t>
  </si>
  <si>
    <t>Fondo perduto</t>
  </si>
  <si>
    <t>Fondo attualiz.</t>
  </si>
  <si>
    <t>tempo_1 ANTICIPO</t>
  </si>
  <si>
    <t>Ani fattore fraz. C. rata costante</t>
  </si>
  <si>
    <t>tempo_2 I SAL</t>
  </si>
  <si>
    <t>I ABB giorni variabili I rata</t>
  </si>
  <si>
    <t>tempo_3 II SAL</t>
  </si>
  <si>
    <t>I ATT giorni variabili I rata</t>
  </si>
  <si>
    <t>tempo_4 SAL SALDO</t>
  </si>
  <si>
    <t>Diff. i att. interessi 1° rata</t>
  </si>
  <si>
    <t>tempo_5 SAL UNICO</t>
  </si>
  <si>
    <t>trasformazione lineare mesi (12=1)</t>
  </si>
  <si>
    <t>Rata costante semestre pieno</t>
  </si>
  <si>
    <t>tempo_6</t>
  </si>
  <si>
    <t>Rata costante da utilizzare</t>
  </si>
  <si>
    <t>(% fin.to agevolato) EROGATO 100%</t>
  </si>
  <si>
    <t>SEMESTRI PRE AMM.TO</t>
  </si>
  <si>
    <t>I att equival. Preamm.to</t>
  </si>
  <si>
    <t>DATA I RATA MUTUO</t>
  </si>
  <si>
    <t>DATA INIZIO INVESTIMENTO</t>
  </si>
  <si>
    <t>Q int. Preamm.to I ABB</t>
  </si>
  <si>
    <t>p (sem. preamm.to)</t>
  </si>
  <si>
    <t>31/05/2019 per test equivalenza</t>
  </si>
  <si>
    <t>amm.to t0 inv.to (senza interessi)</t>
  </si>
  <si>
    <t>vp = (1+iATT)-p</t>
  </si>
  <si>
    <t>vk = (1+iATT)-k</t>
  </si>
  <si>
    <t>Quota interesse di preammortamento a tasso Iabb</t>
  </si>
  <si>
    <t>VAN(I att sem;2-16 rata)</t>
  </si>
  <si>
    <t xml:space="preserve">fattore moltiplicativo an/iatt </t>
  </si>
  <si>
    <t>VAN sopra alla prima rata</t>
  </si>
  <si>
    <t xml:space="preserve">fattore moltiplicativo ap/iatt </t>
  </si>
  <si>
    <t>VAN I rata</t>
  </si>
  <si>
    <t>VAN INT. mutuo TOT</t>
  </si>
  <si>
    <t>NUOVA DATA I RIMBORSO MUTUO</t>
  </si>
  <si>
    <t>Data I rata mutuo + 6 MESI</t>
  </si>
  <si>
    <t>data</t>
  </si>
  <si>
    <t>Giorno I rata</t>
  </si>
  <si>
    <t>Mese I rata</t>
  </si>
  <si>
    <t>Anno ultima valuta</t>
  </si>
  <si>
    <t>Differenza giorni</t>
  </si>
  <si>
    <t>Data I rata restituzione</t>
  </si>
  <si>
    <t>PREAMM.TO mutuo</t>
  </si>
  <si>
    <t>Ultima data valuta</t>
  </si>
  <si>
    <t>Ultima prima valuta - t attualizza</t>
  </si>
  <si>
    <t>INTERESSI PREAMM.TO</t>
  </si>
  <si>
    <t>Data I rata mutuo PRECISA</t>
  </si>
  <si>
    <t>Quota interesse di preammortamento a tasso iABB</t>
  </si>
  <si>
    <t>ATTUAL. A INIZIO INV.TO</t>
  </si>
  <si>
    <t>VAN TOT.</t>
  </si>
  <si>
    <t>Il finanziamento agevolato di cui al comma 1 è restituito dall’impresa beneficiaria, senza interessi, secondo un piano di ammortamento a rate semestrali costanti posticipate scadenti il 31 maggio e il 30 novembre di ogni anno, a decorrere dalla seconda delle precitate date successiva a quella di erogazione dell’ultima quota a saldo delle agevolazioni concesse.</t>
  </si>
  <si>
    <t>Data I rata mutuo</t>
  </si>
  <si>
    <t>Piano d'impresa ammesso</t>
  </si>
  <si>
    <t>Anno 1</t>
  </si>
  <si>
    <t>Anno 2</t>
  </si>
  <si>
    <t>piano d'impresa investimento</t>
  </si>
  <si>
    <t>circolante</t>
  </si>
  <si>
    <t>Totale piano d'impresa</t>
  </si>
  <si>
    <t xml:space="preserve">Contributo concesso su Piano d'impresa (tot. Mutuo + fondo perduto) </t>
  </si>
  <si>
    <t>Finanziamento da restituire (tot. Mutuo)</t>
  </si>
  <si>
    <t>contributo fondo perduto totale</t>
  </si>
  <si>
    <t xml:space="preserve">Tutoring </t>
  </si>
  <si>
    <t>Tasso UE</t>
  </si>
  <si>
    <t>INDICAZIONI OPERATIVE</t>
  </si>
  <si>
    <t>Scheda registrazione CUP/COR</t>
  </si>
  <si>
    <t>campi da non modificare</t>
  </si>
  <si>
    <t xml:space="preserve">Tipo soggetto </t>
  </si>
  <si>
    <t>Impresa iscritta al Registro Imprese (con Sede Legale o Sede Secondaria in Italia)</t>
  </si>
  <si>
    <r>
      <t xml:space="preserve">IMPRESA ISCRITTA AL REGISTRO DELLE IMPRESE (CON SEDE LEGALE O SECONDARIA IN ITALIA) </t>
    </r>
    <r>
      <rPr>
        <b/>
        <sz val="11"/>
        <rFont val="Arial"/>
        <family val="2"/>
      </rPr>
      <t>oppure</t>
    </r>
    <r>
      <rPr>
        <sz val="11"/>
        <rFont val="Arial"/>
        <family val="2"/>
      </rPr>
      <t xml:space="preserve"> IMPRESA NON ISCRITTA AL REGISTRO DELLE IMPRESE (caso società da costituire)</t>
    </r>
  </si>
  <si>
    <t>CUP</t>
  </si>
  <si>
    <t>Codice fiscale</t>
  </si>
  <si>
    <t>P. IVA/C.F. referente</t>
  </si>
  <si>
    <t>Denominazione</t>
  </si>
  <si>
    <t>Nome società/Nome e cognome Referente</t>
  </si>
  <si>
    <t>Fine esercizio finanziario</t>
  </si>
  <si>
    <t>Dimensione impresa</t>
  </si>
  <si>
    <t>Micro impresa / Piccola impresa</t>
  </si>
  <si>
    <t>Rif. "DSAN dimensione aziendale"</t>
  </si>
  <si>
    <t>Attività prevalente</t>
  </si>
  <si>
    <t>Descrizione attività come da delibera</t>
  </si>
  <si>
    <t>Forma giuridica</t>
  </si>
  <si>
    <t>S.n.c./S.a.s./S.r.l./S.r.l.s./n.a.</t>
  </si>
  <si>
    <t xml:space="preserve">Selezionare in base alla casistica </t>
  </si>
  <si>
    <t>Indirizzo sede legale</t>
  </si>
  <si>
    <t>in caso di società da costituire n.a.</t>
  </si>
  <si>
    <t>Nazione</t>
  </si>
  <si>
    <t>Comune sede legale</t>
  </si>
  <si>
    <t>Cap Sede legale</t>
  </si>
  <si>
    <t>Dati relativi al progetto e alla concessione dell'Aiuto</t>
  </si>
  <si>
    <t>Titolo Progetto</t>
  </si>
  <si>
    <t>Descrizione del progetto</t>
  </si>
  <si>
    <t>FINANZIAMENTI PER LA CREAZIONE DI MICRO E PICCOLE IMPRESE COMPETITIVE A PREVALENTE PARTECIPAZIONE GIOVANILE O FEMMINILE</t>
  </si>
  <si>
    <t>Classificazione del progetto</t>
  </si>
  <si>
    <t>CONCESSIONE DI INCENTIVI AD UNITA'
PRODUTTIVE</t>
  </si>
  <si>
    <t xml:space="preserve">CUP </t>
  </si>
  <si>
    <t>NUOVA REALIZZAZIONE/AMPLIAMENTO</t>
  </si>
  <si>
    <t>Settore</t>
  </si>
  <si>
    <t>OPERE, IMPIANTI ED ATTREZZATURE PER ATTIVITA' PRODUTTIVE, E LA RICERCA E L'IMPRESA SOCIALE</t>
  </si>
  <si>
    <t>Sottosettore</t>
  </si>
  <si>
    <t>opere, impianti ed attrezzature per attività industriali e l'artigianato / strutture ed attrezzature per il commercio e i servizi</t>
  </si>
  <si>
    <t>Selezionare in base alla casisitca</t>
  </si>
  <si>
    <t>IMPIANTI, MACCHINARI ED ANNESSE OPERE MURARIE</t>
  </si>
  <si>
    <t>Data Domanda</t>
  </si>
  <si>
    <t>Data Inizio progetto</t>
  </si>
  <si>
    <t>Data richiesta CUP</t>
  </si>
  <si>
    <t>Data Fine progetto</t>
  </si>
  <si>
    <t>Data richiesta CUP+ 24 mesi</t>
  </si>
  <si>
    <t>Localizzazione</t>
  </si>
  <si>
    <t>localizzazione definità (SI/NO)</t>
  </si>
  <si>
    <t>ITALIA</t>
  </si>
  <si>
    <t>Cap</t>
  </si>
  <si>
    <t>Indirizzo</t>
  </si>
  <si>
    <t>Costi</t>
  </si>
  <si>
    <t>Spesa ammessa in € (2 decimali)</t>
  </si>
  <si>
    <t>Ammortamenti - costi della ricerca</t>
  </si>
  <si>
    <t>Ammortamenti - fabbricati e terreni</t>
  </si>
  <si>
    <t>Costi del personale</t>
  </si>
  <si>
    <t>Costi generali</t>
  </si>
  <si>
    <t>Indicare l'importo ammesso a titolo di capitale circolante</t>
  </si>
  <si>
    <t>Immateriali - conoscenze non brevettate</t>
  </si>
  <si>
    <t>Immateriali - diritti di brevetto</t>
  </si>
  <si>
    <t>indicare importo investimento ammissibile</t>
  </si>
  <si>
    <t>Immateriali - know how</t>
  </si>
  <si>
    <t>Immateriali - licenze</t>
  </si>
  <si>
    <t>indicare importo investimento ammissibile relativo a: Programmi informatici, STIC</t>
  </si>
  <si>
    <t>Materiali - Immobili</t>
  </si>
  <si>
    <t>OM?</t>
  </si>
  <si>
    <t>Materiali - Impianti/Macchinari/Attrezzature</t>
  </si>
  <si>
    <t>Materiali - Progettazione(Studi consulenze</t>
  </si>
  <si>
    <t>indicare importo investimento ammissibile consulenze e notaio</t>
  </si>
  <si>
    <t>Materiali - Terreni</t>
  </si>
  <si>
    <t>Acquisto?</t>
  </si>
  <si>
    <t>Costo totale del progetto</t>
  </si>
  <si>
    <t>Totale investimento ammissibile (comprensivo del cap. circolante)</t>
  </si>
  <si>
    <t>Importo finanziamento pubblico</t>
  </si>
  <si>
    <t>Totale agevolazioni (finanziamento agevolato + FP)</t>
  </si>
  <si>
    <t>Tipologia di copertura finanziaria</t>
  </si>
  <si>
    <t>PRIVATA STATALE</t>
  </si>
  <si>
    <t>Componente Aiuto  - Info generali</t>
  </si>
  <si>
    <t>Descrizione componente</t>
  </si>
  <si>
    <t>DE MINIMIS</t>
  </si>
  <si>
    <t>FINANZIAMENTO AGEVOLATO</t>
  </si>
  <si>
    <t>Tipo procedura</t>
  </si>
  <si>
    <t>ESENZIONE</t>
  </si>
  <si>
    <t>Regolamento</t>
  </si>
  <si>
    <t>REGOLAMENTO (UE) N. 1407/2013 DELLA COMMISSIONE del 18 dicembre 2013 relativo all’applicazione degli articoli 107 e 108 del trattato sul funzionamento dell’Unione europea agli aiuti «de minimis»</t>
  </si>
  <si>
    <t>Reg. CE 651/2014 esenzione generale per categoria (GBER)</t>
  </si>
  <si>
    <t>Obiettivo</t>
  </si>
  <si>
    <t>PMI</t>
  </si>
  <si>
    <t>se CAPO II "Aiuti alle imprese in fase di avviamento (art. 22)" / se CAPO III "Aiuti agli investimenti a favore delle PMI (art. 17)"</t>
  </si>
  <si>
    <t>Cumulabilità (SI/NO)</t>
  </si>
  <si>
    <t>Aiuto notificato (SI/NO)</t>
  </si>
  <si>
    <t>Codice CE</t>
  </si>
  <si>
    <t>Soggetto Intermediario (art.16 e 21 Reg UE 651/2014)</t>
  </si>
  <si>
    <t>Componente Aiuto  - Settori attività</t>
  </si>
  <si>
    <t>Codice Ateco</t>
  </si>
  <si>
    <t>DA VALUTAZIONE</t>
  </si>
  <si>
    <t>Componente Aiuto  - Strumenti e importi</t>
  </si>
  <si>
    <t>Tipo strumento</t>
  </si>
  <si>
    <t>Importo nominale (in € 2 decimali)</t>
  </si>
  <si>
    <t xml:space="preserve">Importo Agevolazione </t>
  </si>
  <si>
    <t>Intensità %</t>
  </si>
  <si>
    <t>Prestito/Anticipo rimborsabile - prestito agevolato</t>
  </si>
  <si>
    <t>Sovvenzione/Contributo in conto interessi - contributo diretto alla spesa</t>
  </si>
  <si>
    <t>Deminimis</t>
  </si>
  <si>
    <t>Sovvenzione/Contributo in conto interessi - Contributo diretto alla spesa</t>
  </si>
  <si>
    <t>Sovvenzione/Contributo in conto interessi - Contributo in c/interessi</t>
  </si>
  <si>
    <t>Esenzione</t>
  </si>
  <si>
    <t xml:space="preserve">Totale Agevolazione </t>
  </si>
  <si>
    <t>legenda</t>
  </si>
  <si>
    <t xml:space="preserve">Importo nominale
 Agevolazione </t>
  </si>
  <si>
    <t>Importo tutoring</t>
  </si>
  <si>
    <t>da file ESL (foglio 1)
Contributo fondo perduto</t>
  </si>
  <si>
    <t xml:space="preserve">da file ESL (foglio 2)
% ESL contributo c/impianti
</t>
  </si>
  <si>
    <t xml:space="preserve">da file ESL (foglio 1)
Finanziamento da restituire </t>
  </si>
  <si>
    <t>da file ESL (foglio 2)
Beneficio attualizzato Contributo c/interessi</t>
  </si>
  <si>
    <t>da file ESL (foglio 2)
% ESL Contributo in c/interessi su Mutuo terzi</t>
  </si>
  <si>
    <t>Mezzi propri:
Versamenti in c /capitale sociale e/o incremento capitale sociale e/o finanziamento soci infruttifero e/o in c/capitale</t>
  </si>
  <si>
    <t>Piano degli investimenti_tipo</t>
  </si>
  <si>
    <t>Dettaglio Spese</t>
  </si>
  <si>
    <t>DA RELIZZARE</t>
  </si>
  <si>
    <t>AMMESSI</t>
  </si>
  <si>
    <t>Macchinari Impianti e Attrezzature</t>
  </si>
  <si>
    <t>Programmi informatici e STIC</t>
  </si>
  <si>
    <t>Brevetti</t>
  </si>
  <si>
    <t>Totale piano investimenti_tipo</t>
  </si>
  <si>
    <t>Oneri stipula contratto e costituzione società</t>
  </si>
  <si>
    <t>Totale Investimento</t>
  </si>
  <si>
    <t>Capitale Circolate</t>
  </si>
  <si>
    <t>Totale Spese</t>
  </si>
  <si>
    <t>Anagrafica dei beneficiari/proponenti recuperabile dal CRM per le RdF NIT2</t>
  </si>
  <si>
    <t>codiceFiscaleCliente
(elemento chiave)</t>
  </si>
  <si>
    <t>partitaIvaCliente</t>
  </si>
  <si>
    <t>RagioneSociale</t>
  </si>
  <si>
    <t>formaGiuridica 
(colonna sigla foglio S4)</t>
  </si>
  <si>
    <r>
      <t xml:space="preserve">intestatario 
(nome cognome - obbligatorio SE formaGiuridica DI) </t>
    </r>
    <r>
      <rPr>
        <b/>
        <i/>
        <u/>
        <sz val="11"/>
        <color rgb="FFC00000"/>
        <rFont val="Calibri"/>
        <family val="2"/>
        <scheme val="minor"/>
      </rPr>
      <t>fattispecie non presente su ON, non compilare</t>
    </r>
  </si>
  <si>
    <t>emailPec</t>
  </si>
  <si>
    <t>provincia</t>
  </si>
  <si>
    <t>localita</t>
  </si>
  <si>
    <t>cap</t>
  </si>
  <si>
    <t>indirizzo</t>
  </si>
  <si>
    <t>civico</t>
  </si>
  <si>
    <r>
      <t xml:space="preserve">idErogazione
(elemento chiave) </t>
    </r>
    <r>
      <rPr>
        <b/>
        <i/>
        <u/>
        <sz val="11"/>
        <color rgb="FFC00000"/>
        <rFont val="Calibri"/>
        <family val="2"/>
        <scheme val="minor"/>
      </rPr>
      <t>progressivo da file per SIN</t>
    </r>
  </si>
  <si>
    <t>tipodiErogazione
(foglio S5)</t>
  </si>
  <si>
    <t>Misura</t>
  </si>
  <si>
    <t>Protocollo 
Richiesta di Finanziamento</t>
  </si>
  <si>
    <t>titolareEffettivo</t>
  </si>
  <si>
    <t>ON</t>
  </si>
  <si>
    <t>idErogazione
(elemento chiave)</t>
  </si>
  <si>
    <t>tassoAmmortamento</t>
  </si>
  <si>
    <t>dataAmmissione</t>
  </si>
  <si>
    <t>linea
(foglio S6)</t>
  </si>
  <si>
    <t>ritenuta
(SI/NO)</t>
  </si>
  <si>
    <t>tipologiaIncasso</t>
  </si>
  <si>
    <t>importoComplessivoFinanziato</t>
  </si>
  <si>
    <t>importodiCompensazione</t>
  </si>
  <si>
    <t>importoCassaEdile</t>
  </si>
  <si>
    <t>importoINAIL</t>
  </si>
  <si>
    <t>importoINPS</t>
  </si>
  <si>
    <t>tipodiAgevolazione
(foglio S7)</t>
  </si>
  <si>
    <t>importo
(singolo split)</t>
  </si>
  <si>
    <t>IBANBeneficiario</t>
  </si>
  <si>
    <t>idBanca
(SAP)</t>
  </si>
  <si>
    <t>idConto
(SAP)</t>
  </si>
  <si>
    <t>tipologiaFondo
(NAZIONALE/COMUNITARIA/MISTO)</t>
  </si>
  <si>
    <t>note</t>
  </si>
  <si>
    <t>FINANZIAMENTO</t>
  </si>
  <si>
    <t>NAZIONALE</t>
  </si>
  <si>
    <t>CONTRIBUTO</t>
  </si>
  <si>
    <t>SAL SALDO</t>
  </si>
  <si>
    <t>SAL UNICO</t>
  </si>
  <si>
    <t>Anagrafica</t>
  </si>
  <si>
    <t xml:space="preserve">IDPROGETTO </t>
  </si>
  <si>
    <t>CAPO</t>
  </si>
  <si>
    <t>Referente</t>
  </si>
  <si>
    <t>xxxxxxxx</t>
  </si>
  <si>
    <t>Tipologia rappresentanza</t>
  </si>
  <si>
    <t>Legale Rappresentante</t>
  </si>
  <si>
    <t>Denominazione società</t>
  </si>
  <si>
    <t>Forma societaria</t>
  </si>
  <si>
    <t>Indirizzo sede legale e CAP</t>
  </si>
  <si>
    <t>Comune e provincia sede legale</t>
  </si>
  <si>
    <t>ROMA</t>
  </si>
  <si>
    <t>(PR)</t>
  </si>
  <si>
    <t>RM</t>
  </si>
  <si>
    <t>PEC</t>
  </si>
  <si>
    <t>Partita IVA</t>
  </si>
  <si>
    <t>Iscrizione al Registro imprese</t>
  </si>
  <si>
    <t>di</t>
  </si>
  <si>
    <t>Indirizzo sede operativa e CAP</t>
  </si>
  <si>
    <t>Riferimento progetto</t>
  </si>
  <si>
    <t>COR</t>
  </si>
  <si>
    <t>Data presentazione domanda</t>
  </si>
  <si>
    <t>Data Delibera</t>
  </si>
  <si>
    <t>Data Contratto</t>
  </si>
  <si>
    <t>Termine realizzazione investimento</t>
  </si>
  <si>
    <t>Eventuale Proroga</t>
  </si>
  <si>
    <t>Fonte finanziaria Mutuo</t>
  </si>
  <si>
    <t>NIT2 - Fondo Unico - NIT 2.0</t>
  </si>
  <si>
    <t>Fonte finanziaria Fondo Perduto</t>
  </si>
  <si>
    <t>NIT2 - NIT 2.0 - Fondo perduto</t>
  </si>
  <si>
    <t>N° SAL Presentati</t>
  </si>
  <si>
    <t>Dettaglio Investimento</t>
  </si>
  <si>
    <t>Investimento Totale da realizzare</t>
  </si>
  <si>
    <t>Categoria di spesa</t>
  </si>
  <si>
    <t>Da realizzare</t>
  </si>
  <si>
    <t>Ammesso</t>
  </si>
  <si>
    <t>Investimento Totale Ammesso</t>
  </si>
  <si>
    <t>Capitale Circolante Netto</t>
  </si>
  <si>
    <t>Totale Programma di Spese Ammesso</t>
  </si>
  <si>
    <t>Mezzi propri</t>
  </si>
  <si>
    <t>Finanziamento extra-NITO</t>
  </si>
  <si>
    <t>Totale Contributo Finanziario</t>
  </si>
  <si>
    <t>Agevolazione a mutuo</t>
  </si>
  <si>
    <t>Agevolazione a fondo perduto</t>
  </si>
  <si>
    <t>Totale Agevolazione concessa</t>
  </si>
  <si>
    <t>Quadro delle Garanzie</t>
  </si>
  <si>
    <t>Privilegio Speciale</t>
  </si>
  <si>
    <t>Ipoteca</t>
  </si>
  <si>
    <t>Informazioni bancarie</t>
  </si>
  <si>
    <t>Istituto di credito</t>
  </si>
  <si>
    <t>BANCA SELLA</t>
  </si>
  <si>
    <t>Filiale/Agenzia</t>
  </si>
  <si>
    <t>AGENZIA 30</t>
  </si>
  <si>
    <t>XXXXXXXXXXXXXX</t>
  </si>
  <si>
    <t>Cod.Contr.</t>
  </si>
  <si>
    <t>CIN</t>
  </si>
  <si>
    <t>ABI</t>
  </si>
  <si>
    <t>CAB</t>
  </si>
  <si>
    <t>n. C/C</t>
  </si>
  <si>
    <t>IBAN</t>
  </si>
  <si>
    <t>IT</t>
  </si>
  <si>
    <t>Nome Fondo</t>
  </si>
  <si>
    <t>Banca</t>
  </si>
  <si>
    <t>Filiale di</t>
  </si>
  <si>
    <t>Amministrazione</t>
  </si>
  <si>
    <t>Intesa San Paolo S.p.A.</t>
  </si>
  <si>
    <t xml:space="preserve">IT </t>
  </si>
  <si>
    <t>03069</t>
  </si>
  <si>
    <t>03243</t>
  </si>
  <si>
    <t>100000009551</t>
  </si>
  <si>
    <t>SPAL3</t>
  </si>
  <si>
    <t>ORD04</t>
  </si>
  <si>
    <t>NIT2 - Legge Stabilità 2017 - NIT 2.0</t>
  </si>
  <si>
    <t>02008</t>
  </si>
  <si>
    <t>05364</t>
  </si>
  <si>
    <t>000104834995</t>
  </si>
  <si>
    <t>UNC09</t>
  </si>
  <si>
    <t>CRE01</t>
  </si>
  <si>
    <t>NIT2 - PAC CAMPANIA - NIT 2.0</t>
  </si>
  <si>
    <t>100000009631</t>
  </si>
  <si>
    <t>SPAL5 </t>
  </si>
  <si>
    <t>ORD14</t>
  </si>
  <si>
    <t xml:space="preserve">NIT2 - PON SIL 2000 - 2006 risorse liberate - NIT 2.0 </t>
  </si>
  <si>
    <t>Unicredit S.p.A.</t>
  </si>
  <si>
    <t>000104735271</t>
  </si>
  <si>
    <t>UNC10</t>
  </si>
  <si>
    <t>CRE02</t>
  </si>
  <si>
    <t>CheBanca!</t>
  </si>
  <si>
    <t>W</t>
  </si>
  <si>
    <t>03058</t>
  </si>
  <si>
    <t>01604</t>
  </si>
  <si>
    <t>100572335902</t>
  </si>
  <si>
    <t>CHE17</t>
  </si>
  <si>
    <t>ORD17</t>
  </si>
  <si>
    <t>EROGAZIONE ANTICIPO</t>
  </si>
  <si>
    <t>La Società</t>
  </si>
  <si>
    <t>Progetto N.</t>
  </si>
  <si>
    <t>nella persona del SUO</t>
  </si>
  <si>
    <t>Sede in</t>
  </si>
  <si>
    <t>CCIAA</t>
  </si>
  <si>
    <t>CHIEDE L'EROGAZIONE DELL'ANTICIPO</t>
  </si>
  <si>
    <t>per l'importo di</t>
  </si>
  <si>
    <t>pari al</t>
  </si>
  <si>
    <t>del valore del finanziamento concesso di €</t>
  </si>
  <si>
    <t>Detto conto corrente è dedicato, ancorché in via non esclusiva, al ricevimento delle agevolazioni concesse alla medesima società beneficiaria ai sensi del Decreto interministeriale MiSE - MEF 4 dicembre 2020.</t>
  </si>
  <si>
    <t>1 - LA RICHIESTA DI EROGAZIONE DEVE ESSERE CORREDATA PENA DECADENZA DALLA SEGUENTE DOCUMENTAZIONE</t>
  </si>
  <si>
    <t>Istituto</t>
  </si>
  <si>
    <t>Importo</t>
  </si>
  <si>
    <t>Data Emissione</t>
  </si>
  <si>
    <t>Scadenza Garanzia</t>
  </si>
  <si>
    <t>Formato</t>
  </si>
  <si>
    <t>N.riferimento</t>
  </si>
  <si>
    <t>N. di Protocollazione</t>
  </si>
  <si>
    <t>Fideiussione</t>
  </si>
  <si>
    <t>Digitale</t>
  </si>
  <si>
    <t>DICHIARAZIONI RICHIESTE PER ANTIMAFIA</t>
  </si>
  <si>
    <t>TIPOLOGIA SOCIETARIA</t>
  </si>
  <si>
    <t>Presente</t>
  </si>
  <si>
    <t xml:space="preserve">ANT 3 - Familiari </t>
  </si>
  <si>
    <t>GARANZIE</t>
  </si>
  <si>
    <t>TIPOLOGIA GARANZIA</t>
  </si>
  <si>
    <t>Fideiussione con autentica digitale notarile</t>
  </si>
  <si>
    <t>DICHIARAZIONE SOSTITUTIVE ATTO NOTORIO</t>
  </si>
  <si>
    <t>TIPOLOGIA DSAN</t>
  </si>
  <si>
    <t>MOD 1 - Dichiarazioni Complessive</t>
  </si>
  <si>
    <t>MOD 3 - Dichiarazione Assenza Precenti</t>
  </si>
  <si>
    <t>ATTESTAZIONI E DOCUMENTI</t>
  </si>
  <si>
    <t>TIPOLOGIA DOCUMENTI</t>
  </si>
  <si>
    <t xml:space="preserve"> - Copia di un documento di riconoscimento in corso di validità</t>
  </si>
  <si>
    <t>Riepilogo</t>
  </si>
  <si>
    <t>Anticipo da erogare</t>
  </si>
  <si>
    <t>Attuatore</t>
  </si>
  <si>
    <t>Responsabile SU (Fiorillo)</t>
  </si>
  <si>
    <t>RESPONSABILE Area (Pasetti)</t>
  </si>
  <si>
    <t>A cura dell'attuatore: scegliere una sola opzione</t>
  </si>
  <si>
    <t>Soggetto a verifiche Equitalia S.p.A.</t>
  </si>
  <si>
    <t>No</t>
  </si>
  <si>
    <t>A Servizi Corporate / Amministrazione / Contabilità e Bilancio</t>
  </si>
  <si>
    <t xml:space="preserve">Prot. </t>
  </si>
  <si>
    <t>CUP:</t>
  </si>
  <si>
    <t>COR:</t>
  </si>
  <si>
    <t>PEC IMPRESA:</t>
  </si>
  <si>
    <t>Fonte Finanziaria:</t>
  </si>
  <si>
    <t xml:space="preserve">Vista la proposta effettuata dalla SU IMPR2 si autorizza l'erogazione dell'Anticipo Investimento </t>
  </si>
  <si>
    <t>TOTALE DA EROGARE</t>
  </si>
  <si>
    <t>da accreditare all’impresa:</t>
  </si>
  <si>
    <t>Sede Legale</t>
  </si>
  <si>
    <t>CAP</t>
  </si>
  <si>
    <t>P.IVA</t>
  </si>
  <si>
    <t>Codice Fiscale</t>
  </si>
  <si>
    <t>sulla banca:</t>
  </si>
  <si>
    <t>Prov.</t>
  </si>
  <si>
    <t>Roberto Pasetti</t>
  </si>
  <si>
    <t>RESP. - AREA IMPRENDITORIALITA'</t>
  </si>
  <si>
    <t>RICHIESTA EROGAZIONE 1° SAL</t>
  </si>
  <si>
    <t xml:space="preserve">nella persona del </t>
  </si>
  <si>
    <t>CHIEDE L'EROGAZIONE DEL 1° SAL</t>
  </si>
  <si>
    <t>del valore dell'investimento ammesso alle agevolazioni pari a €</t>
  </si>
  <si>
    <t>L'importo richiesto è così suddiviso</t>
  </si>
  <si>
    <t>- Fatture quietanzate pari ad €</t>
  </si>
  <si>
    <t>- Fatture NON quietanzate pari ad €</t>
  </si>
  <si>
    <t>QUADRO GARANZIE</t>
  </si>
  <si>
    <t>Ipoteca 1° Grado</t>
  </si>
  <si>
    <t>Ipoteca 1° Grado immobile nel caso di acquisto di immobile</t>
  </si>
  <si>
    <t>MOD 2 - Dichiarazione Fornitori</t>
  </si>
  <si>
    <t>MOD 4 – Dichiarazioni Cedente</t>
  </si>
  <si>
    <t>MOD 5 – Dichiarazione Impegno Cessionario</t>
  </si>
  <si>
    <t xml:space="preserve"> - Visura Protesti</t>
  </si>
  <si>
    <t xml:space="preserve"> - Esito positivo Verifica Certificati (CG e CP)</t>
  </si>
  <si>
    <t xml:space="preserve"> - Esito Durc</t>
  </si>
  <si>
    <r>
      <t xml:space="preserve"> - Copia dei titoli di spesa delle spese agevolate  e della contrattualistica di fornitura </t>
    </r>
    <r>
      <rPr>
        <i/>
        <sz val="9"/>
        <color theme="1"/>
        <rFont val="Calibri"/>
        <family val="2"/>
        <scheme val="minor"/>
      </rPr>
      <t>[Nota: I titoli di spesa devono riportare, nell’oggetto o nel campo note, l’indicazione del codice CUP (Codice Unico progetto) o della misura agevolativa “Nuove imprese a Tasso Zero”]</t>
    </r>
  </si>
  <si>
    <t>- Delibera bancaria se prevista da contratto</t>
  </si>
  <si>
    <t xml:space="preserve"> - Copia sottoscritta digitalmente dal Legale Rappresentante del libro cespiti ammortizzabili con evidenza delle registrazioni delle fatture rendicontate </t>
  </si>
  <si>
    <t xml:space="preserve"> - Copia sottoscritta digitalmente dal Legale Rappresentante del libro giornale, con evidenza delle registrazioni delle fatture rendicontate e, se quietanzate, dei relativi pagamenti</t>
  </si>
  <si>
    <t xml:space="preserve"> - Copia sottoscritta digitalmente dal Legale Rappresentante degli estratti conto bancari con evidenza dei pagamenti effettuati rispetto alle:
 a) spese sostenute e richieste nel SAL in corso (Tab. 2)
 b) spese rendicontate nel SAL precedente e successivamente pagate (Tab. 3) (solo per i SAL successivi al 1°)</t>
  </si>
  <si>
    <r>
      <t xml:space="preserve"> - Situazione patrimoniale, all’ultima data utile, con evidenza dell'eventuale costituzione dell'impegno </t>
    </r>
    <r>
      <rPr>
        <i/>
        <sz val="9"/>
        <color theme="1"/>
        <rFont val="Calibri"/>
        <family val="2"/>
        <scheme val="minor"/>
      </rPr>
      <t>(rif. delibera assembleare)</t>
    </r>
    <r>
      <rPr>
        <sz val="9"/>
        <color theme="1"/>
        <rFont val="Calibri"/>
        <family val="2"/>
        <scheme val="minor"/>
      </rPr>
      <t xml:space="preserve">  ad effettuare l'apporto finanziario privato ed i relativi versamenti</t>
    </r>
  </si>
  <si>
    <t xml:space="preserve"> - Perizia Asseverata che attesti la rispondenza dell’immobile agli specifici vincoli edilizi, urbanistici e di destinazione d’uso ovvero la loro avvenuta richiesta, laddove gli stessi non siano stati ancora rilasciati</t>
  </si>
  <si>
    <t xml:space="preserve"> - Attestazione della disponibilità dei locali idonei all’attività d’impresa</t>
  </si>
  <si>
    <t xml:space="preserve"> - Relazione Tecnica del Direttore Lavori/Cantiere dello stato di avanzamento dei lavori connessi alle Opere Murarie (agevolate e non agevolate) relativa a:
 a) richieste e rilascio di permessi ed autorizzazioni abilitative all'avvio delle opere
 b) lavori realizzati
 c) lavori da realizzare
 d) variazioni eventuali intervenute in corso d'opera rispetto agli interventi approvati</t>
  </si>
  <si>
    <t xml:space="preserve"> - Copia dei contratti di acquisto dei beni mobili registrati e - in caso di mezzi targati - della carta di circolazione e del certificato di proprietà</t>
  </si>
  <si>
    <r>
      <t xml:space="preserve"> - Attestazione dello stato di avanzamento degli interventi e della realizzazione del piano degli investimenti delle spese non agevolate </t>
    </r>
    <r>
      <rPr>
        <i/>
        <sz val="9"/>
        <color theme="1"/>
        <rFont val="Calibri"/>
        <family val="2"/>
        <scheme val="minor"/>
      </rPr>
      <t>(se previste)</t>
    </r>
    <r>
      <rPr>
        <sz val="9"/>
        <color theme="1"/>
        <rFont val="Calibri"/>
        <family val="2"/>
        <scheme val="minor"/>
      </rPr>
      <t xml:space="preserve">, funzionali alla realizzazione del programma di investimento </t>
    </r>
  </si>
  <si>
    <t>- In caso di rendicontazione di spese relative ad attrezzature installate presso unità produttive diverse dall’unità interessata dal programma agevolato:
a) copia del libro dei beni prestati a terzi
b) copia del titolo di disponibilità in uso a titolo gratuito, da parte del cessionario, delle attrezzature agevolate installate presso unità produttive diverse dall’unità produttiva interessata dal programma agevolato
c) copia dei documenti di trasporto tenuti ai sensi del D.P.R. 6 ottobre 1978, n. 627, e del D.M. 29 novembre 1978 e ss.mm.ii., da cui risulta l’ubicazione di ciascun bene</t>
  </si>
  <si>
    <t>1 - DETTAGLIO FATTURE</t>
  </si>
  <si>
    <t>1. ELENCO COMPLESSIVO DELLE FATTURE RENDICONTATE</t>
  </si>
  <si>
    <t>N. fatt.</t>
  </si>
  <si>
    <t xml:space="preserve">Fornitore </t>
  </si>
  <si>
    <t>Data fatt.</t>
  </si>
  <si>
    <t>Descrizione</t>
  </si>
  <si>
    <t>Imponibile SIVA</t>
  </si>
  <si>
    <t>Importo IVA</t>
  </si>
  <si>
    <t>Importo Totale</t>
  </si>
  <si>
    <t>Quietanza Fatture</t>
  </si>
  <si>
    <t>Realizzato</t>
  </si>
  <si>
    <t>Non ammesso</t>
  </si>
  <si>
    <t>DSAN Fornitore</t>
  </si>
  <si>
    <t>Presenza CUP</t>
  </si>
  <si>
    <t>Libro gionrale</t>
  </si>
  <si>
    <t>Libro Cespiti</t>
  </si>
  <si>
    <t>Note e ulteriori chiarimenti</t>
  </si>
  <si>
    <t>Richiesta Capitale Circolante Netto</t>
  </si>
  <si>
    <t>Valore CCN richiesto</t>
  </si>
  <si>
    <t>Valore CCN Ammesso</t>
  </si>
  <si>
    <t>2. DETTAGLIO DELLE MODALITA' DI PAGAMENTO DELLE FATTURE QUIETANZATE</t>
  </si>
  <si>
    <t>Importo singolo pagamento</t>
  </si>
  <si>
    <t>Modalità di pagamento</t>
  </si>
  <si>
    <t>Data pagamento</t>
  </si>
  <si>
    <t>Estratto Conto</t>
  </si>
  <si>
    <t>Libro Giornale</t>
  </si>
  <si>
    <t>Tutte le fatture devono essere registrate nei libri contabili e/o registri fiscali previsti dal regime fiscale adottato e nel rispetto della normativa vigente</t>
  </si>
  <si>
    <t>2 - SCHEMA DELLE DICHIARAZIONI DA INVIARE</t>
  </si>
  <si>
    <t>AVANZAMENTO PROGETTO E SINTESI EROGAZIONE</t>
  </si>
  <si>
    <t>Dati da Contratto</t>
  </si>
  <si>
    <t>SAL attuale</t>
  </si>
  <si>
    <t>Rendicontato</t>
  </si>
  <si>
    <t>Quota Mutuo da erogare</t>
  </si>
  <si>
    <t>Quota FP da erogare</t>
  </si>
  <si>
    <t>Residuo da Realizzare</t>
  </si>
  <si>
    <t>INVESTIMENTO RENDICONTATO</t>
  </si>
  <si>
    <t>INVESTIMENTO REALIZZATO</t>
  </si>
  <si>
    <t>INVESTIMENTO AMMESSO</t>
  </si>
  <si>
    <t>MUTUO AL LORDO DELL’ANT.</t>
  </si>
  <si>
    <t>RECUPERO ANTICIPO</t>
  </si>
  <si>
    <t>FINANZIAMENTO MATURATO AL NETTO DELL’ANT.</t>
  </si>
  <si>
    <t>AMMESSO QUIETANZATO</t>
  </si>
  <si>
    <t>Quota FP da erogare QUIETANZATE</t>
  </si>
  <si>
    <t>Quota Mutuo da erogare QUIETANZATE</t>
  </si>
  <si>
    <t>Quota FP da recuperare SAL successivo</t>
  </si>
  <si>
    <t>Quota mutuo da recuperare SAL successivo</t>
  </si>
  <si>
    <t>Quietanzata</t>
  </si>
  <si>
    <t>Vettore Quietanzate</t>
  </si>
  <si>
    <t>Fonte Finanziaria Mutuo:</t>
  </si>
  <si>
    <t xml:space="preserve">Fonte Finanziaria Fondo Perduto </t>
  </si>
  <si>
    <t>di cui Mutuo</t>
  </si>
  <si>
    <t>di cui Fondo Perduto</t>
  </si>
  <si>
    <t>RICHIESTA EROGAZIONE 2° SAL</t>
  </si>
  <si>
    <t>CHIEDE L'EROGAZIONE DEL 2° SAL</t>
  </si>
  <si>
    <t xml:space="preserve"> - Copia dei contratto di acquisto dei beni mobili registrati e - in caso di mezzi targati - della carta di circolazione e del certificato di proprietà</t>
  </si>
  <si>
    <t>3. DETTAGLIO PAGAMENTI FATTURE NON QUIETANZATE DEL PRECEDENTE SAL</t>
  </si>
  <si>
    <t>.</t>
  </si>
  <si>
    <t>3 - SCHEMA DELLE DICHIARAZIONI DA INVIARE</t>
  </si>
  <si>
    <t>MUTUO AGEVOLATO AL LORDO DEL RECUP.</t>
  </si>
  <si>
    <t>MUTUO AGEVOLATO NETTO DEL RECUP. E ANTICIPO</t>
  </si>
  <si>
    <t>FONDO PERDUTO AL LORDO  DEL RECUP.</t>
  </si>
  <si>
    <t>FONDO PERDUTO NETTO DEL RECUP.</t>
  </si>
  <si>
    <t>FINANZIAMENTO MATURATO NETTO</t>
  </si>
  <si>
    <t>DATI I SAL</t>
  </si>
  <si>
    <t>II SAL DA QUIETANZ</t>
  </si>
  <si>
    <t>CONCAT.UNIVOCO</t>
  </si>
  <si>
    <t>FORNITORE</t>
  </si>
  <si>
    <t>N.FATTURA</t>
  </si>
  <si>
    <t>n. fattura</t>
  </si>
  <si>
    <t>QUIETANZATA</t>
  </si>
  <si>
    <t>Concat.univocoQuietanz</t>
  </si>
  <si>
    <t>Macrocategoria</t>
  </si>
  <si>
    <t>Imponibile quietanzato</t>
  </si>
  <si>
    <t>Quota Mutuo maturata</t>
  </si>
  <si>
    <t>Quota FP maturata</t>
  </si>
  <si>
    <t xml:space="preserve">Totale recuperato </t>
  </si>
  <si>
    <t>Totale da recuperare (quanto è stato pagato su non quietanzate nel sal precedente)</t>
  </si>
  <si>
    <t>Da sottrarre al II SAL</t>
  </si>
  <si>
    <t>Maturato lordo II SAL</t>
  </si>
  <si>
    <t>Netto II SAL</t>
  </si>
  <si>
    <t>Bilanciamento</t>
  </si>
  <si>
    <t>RICHIESTA EROGAZIONE 3° SAL</t>
  </si>
  <si>
    <t>CHIEDE L'EROGAZIONE DEL 3° SAL</t>
  </si>
  <si>
    <t>DATI II SAL</t>
  </si>
  <si>
    <t>III SAL DA QUIETANZ</t>
  </si>
  <si>
    <t>Da sottrarre al III SAL</t>
  </si>
  <si>
    <t>Da sottrarre netto al III SAL</t>
  </si>
  <si>
    <t>Maturato lordo III SAL</t>
  </si>
  <si>
    <t>Netto III SAL</t>
  </si>
  <si>
    <t>Bilanciamento nuovo</t>
  </si>
  <si>
    <t>RICHIESTA EROGAZIONE 4° SAL</t>
  </si>
  <si>
    <t>CHIEDE L'EROGAZIONE DEL 4° SAL</t>
  </si>
  <si>
    <t>1 - DETTAGLIO FATTURE RENDICONTATE</t>
  </si>
  <si>
    <t>DATI III SAL</t>
  </si>
  <si>
    <t>IV SAL DA QUIETANZ</t>
  </si>
  <si>
    <t>Da sottrarre al IV SAL</t>
  </si>
  <si>
    <t>Da sottrarre netto al IV SAL</t>
  </si>
  <si>
    <t>Maturato lordo IV SAL</t>
  </si>
  <si>
    <t>Netto IV SAL</t>
  </si>
  <si>
    <t>RICHIESTA EROGAZIONE  SAL A SALDO</t>
  </si>
  <si>
    <t>CHIEDE L'EROGAZIONE DEL SAL A SALDO</t>
  </si>
  <si>
    <t>MOD 6 - Dichiarazione Ultimazione Programma</t>
  </si>
  <si>
    <t>Residuo Totale da Realizzare</t>
  </si>
  <si>
    <t>RESIDUO ANTICIPO DA RECUPERARE</t>
  </si>
  <si>
    <t>Vista la proposta effettuata dalla SU IMPR2 si autorizza l'erogazione del SAL a SALDO su fatture quietanzate</t>
  </si>
  <si>
    <t>DATI IV SAL</t>
  </si>
  <si>
    <t>SAL SALDO DA QUIETANZ</t>
  </si>
  <si>
    <t>DA RECUPERARE</t>
  </si>
  <si>
    <t>Valore da inserire</t>
  </si>
  <si>
    <t>Bilanciamento da inserire</t>
  </si>
  <si>
    <t>Totale da recuperare</t>
  </si>
  <si>
    <t>Totale recuperato</t>
  </si>
  <si>
    <t>Mutuo</t>
  </si>
  <si>
    <t>Fp</t>
  </si>
  <si>
    <t>1SAL</t>
  </si>
  <si>
    <t>2SAL</t>
  </si>
  <si>
    <t>3SAL</t>
  </si>
  <si>
    <t>4SAL</t>
  </si>
  <si>
    <t>Da sottrarre al SAL Saldo</t>
  </si>
  <si>
    <t>Da sottrarre netto al SAL SALDO</t>
  </si>
  <si>
    <t>Maturato lordo  SAL SALDO</t>
  </si>
  <si>
    <t>RICHIESTA EROGAZIONE  SAL UNICO</t>
  </si>
  <si>
    <t>CHIEDE L'EROGAZIONE DEL SAL UNICO</t>
  </si>
  <si>
    <t>Vista la proposta effettuata dalla SU IMPR2 si autorizza l'erogazione del SAL UNICO su fatture quietanzate</t>
  </si>
  <si>
    <t>Erogato</t>
  </si>
  <si>
    <t>Finanziamenti extra ON-Sisma:</t>
  </si>
  <si>
    <t>Finanziamento ON-Sisma:</t>
  </si>
  <si>
    <r>
      <t xml:space="preserve">Trasformazione digitale
</t>
    </r>
    <r>
      <rPr>
        <b/>
        <sz val="8"/>
        <color theme="1"/>
        <rFont val="Calibri"/>
        <family val="2"/>
        <scheme val="minor"/>
      </rPr>
      <t xml:space="preserve">(Indicare il </t>
    </r>
    <r>
      <rPr>
        <b/>
        <u/>
        <sz val="8"/>
        <color theme="1"/>
        <rFont val="Calibri"/>
        <family val="2"/>
        <scheme val="minor"/>
      </rPr>
      <t>nome</t>
    </r>
    <r>
      <rPr>
        <b/>
        <sz val="8"/>
        <color theme="1"/>
        <rFont val="Calibri"/>
        <family val="2"/>
        <scheme val="minor"/>
      </rPr>
      <t xml:space="preserve"> del bene o dei beni contenuti nel preventivo/fattura riferibili a beni materiali e immateriali ricompresi nell’</t>
    </r>
    <r>
      <rPr>
        <b/>
        <u/>
        <sz val="8"/>
        <color theme="1"/>
        <rFont val="Calibri"/>
        <family val="2"/>
        <scheme val="minor"/>
      </rPr>
      <t xml:space="preserve">allegato A e B </t>
    </r>
    <r>
      <rPr>
        <b/>
        <sz val="8"/>
        <color theme="1"/>
        <rFont val="Calibri"/>
        <family val="2"/>
        <scheme val="minor"/>
      </rPr>
      <t>della Nuova Sabatini)</t>
    </r>
  </si>
  <si>
    <r>
      <t xml:space="preserve">Importo industria 4.0 
</t>
    </r>
    <r>
      <rPr>
        <b/>
        <sz val="8"/>
        <color theme="1"/>
        <rFont val="Calibri"/>
        <family val="2"/>
        <scheme val="minor"/>
      </rPr>
      <t xml:space="preserve">(Indicare la quota parte </t>
    </r>
    <r>
      <rPr>
        <b/>
        <u/>
        <sz val="8"/>
        <color theme="1"/>
        <rFont val="Calibri"/>
        <family val="2"/>
        <scheme val="minor"/>
      </rPr>
      <t>in euro dell'imponibile</t>
    </r>
    <r>
      <rPr>
        <b/>
        <sz val="8"/>
        <color theme="1"/>
        <rFont val="Calibri"/>
        <family val="2"/>
        <scheme val="minor"/>
      </rPr>
      <t xml:space="preserve"> del preventivo/fattura riferibile a beni materiali ricompresi nell’</t>
    </r>
    <r>
      <rPr>
        <b/>
        <u/>
        <sz val="8"/>
        <color theme="1"/>
        <rFont val="Calibri"/>
        <family val="2"/>
        <scheme val="minor"/>
      </rPr>
      <t>allegato A</t>
    </r>
    <r>
      <rPr>
        <b/>
        <sz val="8"/>
        <color theme="1"/>
        <rFont val="Calibri"/>
        <family val="2"/>
        <scheme val="minor"/>
      </rPr>
      <t xml:space="preserve"> della Nuova Sabatini)</t>
    </r>
  </si>
  <si>
    <t>INVESTIMENTO FINANZIABILE</t>
  </si>
  <si>
    <t xml:space="preserve">IMPONIBILE STIMA INVESTIMENTO </t>
  </si>
  <si>
    <r>
      <t xml:space="preserve">I seguenti campi sono opzionali, se selezionati </t>
    </r>
    <r>
      <rPr>
        <b/>
        <i/>
        <u/>
        <sz val="12"/>
        <color rgb="FF000000"/>
        <rFont val="Calibri"/>
        <family val="2"/>
      </rPr>
      <t>saranno sottoposti a verifica</t>
    </r>
    <r>
      <rPr>
        <b/>
        <i/>
        <sz val="12"/>
        <color rgb="FF000000"/>
        <rFont val="Calibri"/>
        <family val="2"/>
      </rPr>
      <t xml:space="preserve"> da parte dell'Agenzia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</si>
</sst>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0">
    <numFmt numFmtId="8" formatCode="#,##0.00\ &quot;€&quot;;[Red]\-#,##0.00\ &quot;€&quot;"/>
    <numFmt numFmtId="44" formatCode="_-* #,##0.00\ &quot;€&quot;_-;\-* #,##0.00\ &quot;€&quot;_-;_-* &quot;-&quot;??\ &quot;€&quot;_-;_-@_-"/>
    <numFmt numFmtId="164" formatCode="_-* #,##0.00\ _€_-;\-* #,##0.00\ _€_-;_-* &quot;-&quot;??\ _€_-;_-@_-"/>
    <numFmt numFmtId="165" formatCode="&quot;€&quot;#,##0.00_);[Red]\(&quot;€&quot;#,##0.00\)"/>
    <numFmt numFmtId="166" formatCode="_(* #,##0_);_(* \(#,##0\);_(* &quot;-&quot;_);_(@_)"/>
    <numFmt numFmtId="167" formatCode="_(&quot;€&quot;* #,##0.00_);_(&quot;€&quot;* \(#,##0.00\);_(&quot;€&quot;* &quot;-&quot;??_);_(@_)"/>
    <numFmt numFmtId="168" formatCode="_(* #,##0.00_);_(* \(#,##0.00\);_(* &quot;-&quot;??_);_(@_)"/>
    <numFmt numFmtId="169" formatCode="_-&quot;€&quot;\ * #,##0.00_-;\-&quot;€&quot;\ * #,##0.00_-;_-&quot;€&quot;\ * &quot;-&quot;??_-;_-@_-"/>
    <numFmt numFmtId="170" formatCode="0.000"/>
    <numFmt numFmtId="171" formatCode="_-&quot;€&quot;\ * #,##0_-;\-&quot;€&quot;\ * #,##0_-;_-&quot;€&quot;\ * &quot;-&quot;??_-;_-@_-"/>
    <numFmt numFmtId="172" formatCode="_-* #,##0\ &quot;€&quot;_-;\-* #,##0\ &quot;€&quot;_-;_-* &quot;-&quot;??\ &quot;€&quot;_-;_-@_-"/>
    <numFmt numFmtId="173" formatCode="0.0%"/>
    <numFmt numFmtId="174" formatCode="&quot;Anno&quot;\ 0"/>
    <numFmt numFmtId="175" formatCode="0.0000"/>
    <numFmt numFmtId="176" formatCode="0.0000%"/>
    <numFmt numFmtId="177" formatCode="0.00000%"/>
    <numFmt numFmtId="178" formatCode="&quot;€&quot;\ #,##0.00"/>
    <numFmt numFmtId="179" formatCode="0.00_)"/>
    <numFmt numFmtId="180" formatCode="#,##0.000"/>
    <numFmt numFmtId="181" formatCode="0_)"/>
    <numFmt numFmtId="182" formatCode=";;;"/>
    <numFmt numFmtId="183" formatCode="0.000_)"/>
    <numFmt numFmtId="184" formatCode="0.000%"/>
    <numFmt numFmtId="185" formatCode="&quot;€&quot;\ #,##0;[Red]\-&quot;€&quot;\ #,##0"/>
    <numFmt numFmtId="186" formatCode="_-[$€]\ * #,##0.00_-;\-[$€]\ * #,##0.00_-;_-[$€]\ * &quot;-&quot;??_-;_-@_-"/>
    <numFmt numFmtId="187" formatCode="&quot;€&quot;\ #,##0.00;[Red]\-&quot;€&quot;\ #,##0.00"/>
    <numFmt numFmtId="188" formatCode="0.00000"/>
    <numFmt numFmtId="189" formatCode="#,##0_ ;\-#,##0\ "/>
    <numFmt numFmtId="190" formatCode="#,##0.00\ &quot;€&quot;"/>
    <numFmt numFmtId="191" formatCode="0.0"/>
    <numFmt numFmtId="192" formatCode="0.00000000E+00"/>
    <numFmt numFmtId="193" formatCode="#,##0.000000\ &quot;€&quot;;[Red]\-#,##0.000000\ &quot;€&quot;"/>
    <numFmt numFmtId="194" formatCode="0.000000%"/>
    <numFmt numFmtId="195" formatCode="_-&quot;L.&quot;\ * #,##0.00_-;\-&quot;L.&quot;\ * #,##0.00_-;_-&quot;L.&quot;\ * &quot;-&quot;??_-;_-@_-"/>
    <numFmt numFmtId="196" formatCode="_-* #,##0.00\ [$€-410]_-;\-* #,##0.00\ [$€-410]_-;_-* &quot;-&quot;??\ [$€-410]_-;_-@_-"/>
    <numFmt numFmtId="197" formatCode="#,##0.000\ &quot;€&quot;;[Red]\-#,##0.000\ &quot;€&quot;"/>
    <numFmt numFmtId="198" formatCode="0.000000"/>
    <numFmt numFmtId="199" formatCode="0.00000000"/>
    <numFmt numFmtId="200" formatCode="0.0000000"/>
    <numFmt numFmtId="201" formatCode="&quot;€&quot;#,##0_);[Red]\(&quot;€&quot;#,##0\)"/>
    <numFmt numFmtId="202" formatCode="_-* #,##0.000\ &quot;€&quot;_-;\-* #,##0.000\ &quot;€&quot;_-;_-* &quot;-&quot;???\ &quot;€&quot;_-;_-@_-"/>
    <numFmt numFmtId="203" formatCode="#,##0.00000"/>
    <numFmt numFmtId="204" formatCode="#,##0.00000000\ &quot;€&quot;;[Red]\-#,##0.00000000\ &quot;€&quot;"/>
    <numFmt numFmtId="205" formatCode="#,##0.00000\ &quot;€&quot;;[Red]\-#,##0.00000\ &quot;€&quot;"/>
    <numFmt numFmtId="206" formatCode="#,##0.0000000\ &quot;€&quot;;[Red]\-#,##0.0000000\ &quot;€&quot;"/>
    <numFmt numFmtId="207" formatCode="#,##0.0000"/>
    <numFmt numFmtId="208" formatCode="_-* #,##0.0\ &quot;€&quot;_-;\-* #,##0.0\ &quot;€&quot;_-;_-* &quot;-&quot;??\ &quot;€&quot;_-;_-@_-"/>
    <numFmt numFmtId="209" formatCode="_-* #,##0.0\ &quot;€&quot;_-;\-* #,##0.0\ &quot;€&quot;_-;_-* &quot;-&quot;?\ &quot;€&quot;_-;_-@_-"/>
    <numFmt numFmtId="210" formatCode="_-* #,##0.00000\ &quot;€&quot;_-;\-* #,##0.00000\ &quot;€&quot;_-;_-* &quot;-&quot;?????\ &quot;€&quot;_-;_-@_-"/>
    <numFmt numFmtId="211" formatCode="0.00000000000000000000000000000000000"/>
  </numFmts>
  <fonts count="176" x14ac:knownFonts="1">
    <font>
      <sz val="11"/>
      <color theme="1"/>
      <name val="Calibri"/>
      <family val="2"/>
      <scheme val="minor"/>
    </font>
    <font>
      <sz val="11"/>
      <color theme="1"/>
      <name val="Calibri"/>
      <family val="2"/>
      <scheme val="minor"/>
    </font>
    <font>
      <sz val="8"/>
      <color rgb="FF000000"/>
      <name val="Arial"/>
      <family val="2"/>
    </font>
    <font>
      <i/>
      <sz val="8"/>
      <color rgb="FF000000"/>
      <name val="Arial"/>
      <family val="2"/>
    </font>
    <font>
      <sz val="10"/>
      <name val="Arial"/>
      <family val="2"/>
    </font>
    <font>
      <sz val="10"/>
      <name val="Calibri"/>
      <family val="2"/>
    </font>
    <font>
      <sz val="8"/>
      <name val="Calibri"/>
      <family val="2"/>
    </font>
    <font>
      <b/>
      <sz val="8"/>
      <color rgb="FF000000"/>
      <name val="Arial"/>
      <family val="2"/>
    </font>
    <font>
      <b/>
      <sz val="9"/>
      <color rgb="FF000000"/>
      <name val="Calibri"/>
      <family val="2"/>
    </font>
    <font>
      <sz val="9"/>
      <color rgb="FF000000"/>
      <name val="Calibri"/>
      <family val="2"/>
    </font>
    <font>
      <sz val="10"/>
      <color rgb="FFDD0806"/>
      <name val="Arial"/>
      <family val="2"/>
    </font>
    <font>
      <sz val="8"/>
      <color indexed="8"/>
      <name val="Arial"/>
      <family val="2"/>
    </font>
    <font>
      <i/>
      <sz val="9"/>
      <color rgb="FF000000"/>
      <name val="Calibri"/>
      <family val="2"/>
    </font>
    <font>
      <b/>
      <sz val="11"/>
      <color rgb="FF000000"/>
      <name val="Calibri"/>
      <family val="2"/>
    </font>
    <font>
      <b/>
      <sz val="11"/>
      <color theme="1"/>
      <name val="Calibri"/>
      <family val="2"/>
      <scheme val="minor"/>
    </font>
    <font>
      <b/>
      <sz val="10"/>
      <color rgb="FF000000"/>
      <name val="Arial"/>
      <family val="2"/>
    </font>
    <font>
      <sz val="11"/>
      <color rgb="FF000000"/>
      <name val="Calibri"/>
      <family val="2"/>
    </font>
    <font>
      <sz val="8"/>
      <name val="Calibri"/>
      <family val="2"/>
      <scheme val="minor"/>
    </font>
    <font>
      <sz val="10"/>
      <name val="Calibri"/>
      <family val="2"/>
      <scheme val="minor"/>
    </font>
    <font>
      <b/>
      <sz val="9"/>
      <color theme="1"/>
      <name val="Calibri"/>
      <family val="2"/>
      <scheme val="minor"/>
    </font>
    <font>
      <sz val="11"/>
      <name val="Segoe UI"/>
      <family val="2"/>
    </font>
    <font>
      <sz val="11"/>
      <color theme="1"/>
      <name val="Segoe UI"/>
      <family val="2"/>
    </font>
    <font>
      <b/>
      <sz val="12"/>
      <color theme="1"/>
      <name val="Segoe UI"/>
      <family val="2"/>
    </font>
    <font>
      <sz val="12"/>
      <color theme="1"/>
      <name val="Segoe UI"/>
      <family val="2"/>
    </font>
    <font>
      <sz val="18"/>
      <color theme="1"/>
      <name val="Calibri"/>
      <family val="2"/>
      <scheme val="minor"/>
    </font>
    <font>
      <b/>
      <sz val="18"/>
      <color theme="1"/>
      <name val="Calibri"/>
      <family val="2"/>
      <scheme val="minor"/>
    </font>
    <font>
      <b/>
      <sz val="16"/>
      <color rgb="FF000000"/>
      <name val="Calibri"/>
      <family val="2"/>
    </font>
    <font>
      <sz val="10"/>
      <color rgb="FF000000"/>
      <name val="Times New Roman"/>
      <family val="1"/>
    </font>
    <font>
      <sz val="8"/>
      <color theme="0"/>
      <name val="Arial"/>
      <family val="2"/>
    </font>
    <font>
      <b/>
      <sz val="8"/>
      <color indexed="8"/>
      <name val="Arial"/>
      <family val="2"/>
    </font>
    <font>
      <b/>
      <sz val="9"/>
      <color indexed="8"/>
      <name val="Calibri"/>
      <family val="2"/>
    </font>
    <font>
      <b/>
      <sz val="9"/>
      <color theme="1"/>
      <name val="Arial"/>
      <family val="2"/>
    </font>
    <font>
      <sz val="9"/>
      <color indexed="8"/>
      <name val="Calibri"/>
      <family val="2"/>
    </font>
    <font>
      <b/>
      <i/>
      <sz val="11"/>
      <color theme="1"/>
      <name val="Calibri"/>
      <family val="2"/>
      <scheme val="minor"/>
    </font>
    <font>
      <sz val="9"/>
      <color rgb="FF000000"/>
      <name val="Arial"/>
      <family val="2"/>
    </font>
    <font>
      <sz val="8"/>
      <color theme="1"/>
      <name val="Arial"/>
      <family val="2"/>
    </font>
    <font>
      <b/>
      <sz val="16"/>
      <color theme="1"/>
      <name val="Calibri"/>
      <family val="2"/>
      <scheme val="minor"/>
    </font>
    <font>
      <sz val="10"/>
      <color theme="1"/>
      <name val="Times New Roman"/>
      <family val="1"/>
    </font>
    <font>
      <b/>
      <sz val="11"/>
      <color theme="1"/>
      <name val="Segoe UI"/>
      <family val="2"/>
    </font>
    <font>
      <sz val="9"/>
      <name val="Segoe UI"/>
      <family val="2"/>
    </font>
    <font>
      <sz val="9"/>
      <color theme="1"/>
      <name val="Segoe UI"/>
      <family val="2"/>
    </font>
    <font>
      <b/>
      <sz val="9"/>
      <color theme="1"/>
      <name val="Segoe UI"/>
      <family val="2"/>
    </font>
    <font>
      <b/>
      <sz val="11"/>
      <color rgb="FFFF0000"/>
      <name val="Calibri"/>
      <family val="2"/>
      <scheme val="minor"/>
    </font>
    <font>
      <sz val="11"/>
      <color theme="1"/>
      <name val="Arial"/>
      <family val="2"/>
    </font>
    <font>
      <b/>
      <sz val="18"/>
      <color theme="1"/>
      <name val="Arial"/>
      <family val="2"/>
    </font>
    <font>
      <sz val="18"/>
      <color theme="1"/>
      <name val="Arial"/>
      <family val="2"/>
    </font>
    <font>
      <b/>
      <sz val="11"/>
      <color theme="1"/>
      <name val="Arial"/>
      <family val="2"/>
    </font>
    <font>
      <i/>
      <sz val="11"/>
      <color theme="1"/>
      <name val="Arial"/>
      <family val="2"/>
    </font>
    <font>
      <b/>
      <sz val="10"/>
      <name val="Arial"/>
      <family val="2"/>
    </font>
    <font>
      <sz val="9"/>
      <color indexed="81"/>
      <name val="Tahoma"/>
      <family val="2"/>
    </font>
    <font>
      <b/>
      <sz val="11"/>
      <color indexed="12"/>
      <name val="Times New Roman"/>
      <family val="1"/>
    </font>
    <font>
      <sz val="10"/>
      <name val="Times New Roman"/>
      <family val="1"/>
    </font>
    <font>
      <i/>
      <sz val="11"/>
      <name val="Times New Roman"/>
      <family val="1"/>
    </font>
    <font>
      <b/>
      <sz val="10"/>
      <name val="Times New Roman"/>
      <family val="1"/>
    </font>
    <font>
      <b/>
      <sz val="16"/>
      <color theme="0"/>
      <name val="Times New Roman"/>
      <family val="1"/>
    </font>
    <font>
      <sz val="10"/>
      <color theme="0"/>
      <name val="Times New Roman"/>
      <family val="1"/>
    </font>
    <font>
      <b/>
      <i/>
      <sz val="10"/>
      <color theme="0"/>
      <name val="Times New Roman"/>
      <family val="1"/>
    </font>
    <font>
      <sz val="8"/>
      <name val="Times New Roman"/>
      <family val="1"/>
    </font>
    <font>
      <b/>
      <sz val="10"/>
      <color rgb="FFFF0000"/>
      <name val="Times New Roman"/>
      <family val="1"/>
    </font>
    <font>
      <sz val="10"/>
      <color indexed="12"/>
      <name val="Times New Roman"/>
      <family val="1"/>
    </font>
    <font>
      <b/>
      <sz val="10"/>
      <color theme="0"/>
      <name val="Times New Roman"/>
      <family val="1"/>
    </font>
    <font>
      <b/>
      <i/>
      <sz val="10"/>
      <color indexed="10"/>
      <name val="Times New Roman"/>
      <family val="1"/>
    </font>
    <font>
      <u/>
      <sz val="10"/>
      <color indexed="12"/>
      <name val="Arial"/>
      <family val="2"/>
    </font>
    <font>
      <sz val="10"/>
      <color indexed="10"/>
      <name val="Times New Roman"/>
      <family val="1"/>
    </font>
    <font>
      <b/>
      <i/>
      <sz val="8"/>
      <name val="Arial"/>
      <family val="2"/>
    </font>
    <font>
      <sz val="8"/>
      <name val="Arial"/>
      <family val="2"/>
    </font>
    <font>
      <b/>
      <sz val="14"/>
      <name val="Times New Roman"/>
      <family val="1"/>
    </font>
    <font>
      <b/>
      <sz val="12"/>
      <name val="Times New Roman"/>
      <family val="1"/>
    </font>
    <font>
      <b/>
      <sz val="16"/>
      <name val="Times New Roman"/>
      <family val="1"/>
    </font>
    <font>
      <sz val="14"/>
      <color indexed="10"/>
      <name val="Times New Roman"/>
      <family val="1"/>
    </font>
    <font>
      <b/>
      <i/>
      <sz val="9"/>
      <name val="Times New Roman"/>
      <family val="1"/>
    </font>
    <font>
      <b/>
      <u/>
      <sz val="16"/>
      <color indexed="10"/>
      <name val="Times New Roman"/>
      <family val="1"/>
    </font>
    <font>
      <b/>
      <u/>
      <sz val="12"/>
      <name val="Times New Roman"/>
      <family val="1"/>
    </font>
    <font>
      <i/>
      <sz val="10"/>
      <name val="Times New Roman"/>
      <family val="1"/>
    </font>
    <font>
      <vertAlign val="subscript"/>
      <sz val="10"/>
      <name val="Times New Roman"/>
      <family val="1"/>
    </font>
    <font>
      <i/>
      <vertAlign val="subscript"/>
      <sz val="10"/>
      <name val="Times New Roman"/>
      <family val="1"/>
    </font>
    <font>
      <b/>
      <sz val="10"/>
      <color indexed="10"/>
      <name val="Times New Roman"/>
      <family val="1"/>
    </font>
    <font>
      <vertAlign val="superscript"/>
      <sz val="10"/>
      <name val="Times New Roman"/>
      <family val="1"/>
    </font>
    <font>
      <b/>
      <i/>
      <sz val="10"/>
      <name val="Times New Roman"/>
      <family val="1"/>
    </font>
    <font>
      <b/>
      <i/>
      <sz val="12"/>
      <name val="Times New Roman"/>
      <family val="1"/>
    </font>
    <font>
      <sz val="10"/>
      <name val="Verdana"/>
      <family val="2"/>
    </font>
    <font>
      <b/>
      <sz val="12"/>
      <color indexed="39"/>
      <name val="Arial"/>
      <family val="2"/>
    </font>
    <font>
      <sz val="10"/>
      <color indexed="48"/>
      <name val="Verdana"/>
      <family val="2"/>
    </font>
    <font>
      <b/>
      <i/>
      <sz val="10"/>
      <name val="Verdana"/>
      <family val="2"/>
    </font>
    <font>
      <b/>
      <sz val="9"/>
      <color indexed="81"/>
      <name val="Tahoma"/>
      <family val="2"/>
    </font>
    <font>
      <sz val="11"/>
      <color rgb="FFFF0000"/>
      <name val="Calibri"/>
      <family val="2"/>
      <scheme val="minor"/>
    </font>
    <font>
      <b/>
      <sz val="11"/>
      <name val="Arial"/>
      <family val="2"/>
    </font>
    <font>
      <sz val="11"/>
      <name val="Arial"/>
      <family val="2"/>
    </font>
    <font>
      <sz val="10"/>
      <color theme="1"/>
      <name val="Arial"/>
      <family val="2"/>
    </font>
    <font>
      <b/>
      <sz val="12"/>
      <color theme="1"/>
      <name val="Calibri"/>
      <family val="2"/>
      <scheme val="minor"/>
    </font>
    <font>
      <sz val="11"/>
      <color theme="1"/>
      <name val="Calibri"/>
      <family val="2"/>
    </font>
    <font>
      <b/>
      <sz val="14"/>
      <color rgb="FF000000"/>
      <name val="Calibri"/>
      <family val="2"/>
    </font>
    <font>
      <strike/>
      <sz val="11"/>
      <color rgb="FF000000"/>
      <name val="Calibri"/>
      <family val="2"/>
    </font>
    <font>
      <b/>
      <sz val="12"/>
      <color rgb="FFFF0000"/>
      <name val="Calibri"/>
      <family val="2"/>
    </font>
    <font>
      <i/>
      <sz val="11"/>
      <color rgb="FF000000"/>
      <name val="Calibri"/>
      <family val="2"/>
    </font>
    <font>
      <b/>
      <sz val="12"/>
      <color rgb="FF000000"/>
      <name val="Calibri"/>
      <family val="2"/>
    </font>
    <font>
      <b/>
      <sz val="12"/>
      <name val="Calibri"/>
      <family val="2"/>
    </font>
    <font>
      <sz val="10"/>
      <color rgb="FFFFFFFF"/>
      <name val="Calibri"/>
      <family val="2"/>
    </font>
    <font>
      <sz val="10"/>
      <color rgb="FF000000"/>
      <name val="Calibri"/>
      <family val="2"/>
    </font>
    <font>
      <sz val="11"/>
      <color rgb="FFFFFFFF"/>
      <name val="Calibri"/>
      <family val="2"/>
    </font>
    <font>
      <b/>
      <sz val="11"/>
      <color rgb="FFFFFFFF"/>
      <name val="Calibri"/>
      <family val="2"/>
    </font>
    <font>
      <b/>
      <sz val="11"/>
      <name val="Calibri"/>
      <family val="2"/>
    </font>
    <font>
      <sz val="12.5"/>
      <color rgb="FF000000"/>
      <name val="Calibri"/>
      <family val="2"/>
    </font>
    <font>
      <i/>
      <sz val="12.5"/>
      <color rgb="FF000000"/>
      <name val="Calibri"/>
      <family val="2"/>
    </font>
    <font>
      <b/>
      <sz val="14"/>
      <color rgb="FFFFFFFF"/>
      <name val="Calibri"/>
      <family val="2"/>
    </font>
    <font>
      <b/>
      <u/>
      <sz val="20"/>
      <name val="Arial"/>
      <family val="2"/>
    </font>
    <font>
      <sz val="10"/>
      <color rgb="FFFF0000"/>
      <name val="Arial"/>
      <family val="2"/>
    </font>
    <font>
      <b/>
      <sz val="12"/>
      <color theme="0"/>
      <name val="Arial"/>
      <family val="2"/>
    </font>
    <font>
      <b/>
      <sz val="12"/>
      <name val="Arial"/>
      <family val="2"/>
    </font>
    <font>
      <b/>
      <u/>
      <sz val="22"/>
      <name val="Arial"/>
      <family val="2"/>
    </font>
    <font>
      <b/>
      <sz val="14"/>
      <color theme="1"/>
      <name val="Calibri"/>
      <family val="2"/>
      <scheme val="minor"/>
    </font>
    <font>
      <b/>
      <sz val="14"/>
      <color rgb="FFFF0000"/>
      <name val="Calibri"/>
      <family val="2"/>
      <scheme val="minor"/>
    </font>
    <font>
      <u/>
      <sz val="11"/>
      <color theme="10"/>
      <name val="Calibri"/>
      <family val="2"/>
      <scheme val="minor"/>
    </font>
    <font>
      <b/>
      <u/>
      <sz val="11"/>
      <color rgb="FF002060"/>
      <name val="Calibri"/>
      <family val="2"/>
      <scheme val="minor"/>
    </font>
    <font>
      <b/>
      <sz val="14"/>
      <color theme="0"/>
      <name val="Calibri"/>
      <family val="2"/>
      <scheme val="minor"/>
    </font>
    <font>
      <b/>
      <i/>
      <sz val="14"/>
      <color theme="1"/>
      <name val="Calibri"/>
      <family val="2"/>
      <scheme val="minor"/>
    </font>
    <font>
      <b/>
      <sz val="12"/>
      <color theme="1"/>
      <name val="Calibri"/>
      <family val="2"/>
    </font>
    <font>
      <b/>
      <sz val="11"/>
      <color theme="1"/>
      <name val="Calibri"/>
      <family val="2"/>
    </font>
    <font>
      <sz val="10"/>
      <color rgb="FF000000"/>
      <name val="Arial"/>
      <family val="2"/>
    </font>
    <font>
      <i/>
      <sz val="10"/>
      <color rgb="FF000000"/>
      <name val="Arial"/>
      <family val="2"/>
    </font>
    <font>
      <u/>
      <sz val="11"/>
      <color rgb="FF0563C1"/>
      <name val="Calibri"/>
      <family val="2"/>
    </font>
    <font>
      <b/>
      <sz val="16"/>
      <color rgb="FF000000"/>
      <name val="Arial"/>
      <family val="2"/>
    </font>
    <font>
      <b/>
      <sz val="16"/>
      <color theme="0"/>
      <name val="Calibri"/>
      <family val="2"/>
      <scheme val="minor"/>
    </font>
    <font>
      <b/>
      <sz val="16"/>
      <color rgb="FFFFFFFF"/>
      <name val="Calibri"/>
      <family val="2"/>
    </font>
    <font>
      <b/>
      <i/>
      <sz val="11"/>
      <color rgb="FF000000"/>
      <name val="Calibri"/>
      <family val="2"/>
    </font>
    <font>
      <i/>
      <u/>
      <sz val="11"/>
      <color rgb="FF000000"/>
      <name val="Calibri"/>
      <family val="2"/>
    </font>
    <font>
      <b/>
      <sz val="9"/>
      <color rgb="FF000000"/>
      <name val="Arial"/>
      <family val="2"/>
    </font>
    <font>
      <b/>
      <sz val="10"/>
      <color theme="1"/>
      <name val="Arial"/>
      <family val="2"/>
    </font>
    <font>
      <b/>
      <sz val="10"/>
      <color rgb="FF000000"/>
      <name val="Calibri"/>
      <family val="2"/>
    </font>
    <font>
      <sz val="9"/>
      <color rgb="FF000000"/>
      <name val="Segoe UI"/>
      <family val="2"/>
    </font>
    <font>
      <sz val="8"/>
      <color rgb="FF000000"/>
      <name val="Calibri"/>
      <family val="2"/>
    </font>
    <font>
      <sz val="11"/>
      <name val="Calibri"/>
      <family val="2"/>
    </font>
    <font>
      <b/>
      <sz val="11"/>
      <color theme="0"/>
      <name val="Calibri"/>
      <family val="2"/>
      <scheme val="minor"/>
    </font>
    <font>
      <sz val="11"/>
      <color theme="0"/>
      <name val="Calibri"/>
      <family val="2"/>
      <scheme val="minor"/>
    </font>
    <font>
      <b/>
      <sz val="11"/>
      <name val="Calibri"/>
      <family val="2"/>
      <scheme val="minor"/>
    </font>
    <font>
      <b/>
      <sz val="10"/>
      <name val="Calibri"/>
      <family val="2"/>
    </font>
    <font>
      <sz val="11"/>
      <color rgb="FF000000"/>
      <name val="Calibri"/>
      <family val="2"/>
      <scheme val="minor"/>
    </font>
    <font>
      <sz val="11"/>
      <name val="Calibri"/>
      <family val="2"/>
      <scheme val="minor"/>
    </font>
    <font>
      <sz val="11"/>
      <color rgb="FFC00000"/>
      <name val="Calibri"/>
      <family val="2"/>
      <scheme val="minor"/>
    </font>
    <font>
      <sz val="9"/>
      <color theme="1"/>
      <name val="Calibri"/>
      <family val="2"/>
      <scheme val="minor"/>
    </font>
    <font>
      <i/>
      <sz val="9"/>
      <color theme="1"/>
      <name val="Calibri"/>
      <family val="2"/>
      <scheme val="minor"/>
    </font>
    <font>
      <sz val="9"/>
      <name val="Calibri"/>
      <family val="2"/>
      <scheme val="minor"/>
    </font>
    <font>
      <b/>
      <u/>
      <sz val="12"/>
      <color rgb="FF000000"/>
      <name val="Arial"/>
      <family val="2"/>
    </font>
    <font>
      <b/>
      <sz val="14"/>
      <color rgb="FF000000"/>
      <name val="Arial"/>
      <family val="2"/>
    </font>
    <font>
      <i/>
      <sz val="11"/>
      <color theme="1"/>
      <name val="Calibri"/>
      <family val="2"/>
      <scheme val="minor"/>
    </font>
    <font>
      <b/>
      <i/>
      <u/>
      <sz val="11"/>
      <color rgb="FFC00000"/>
      <name val="Calibri"/>
      <family val="2"/>
      <scheme val="minor"/>
    </font>
    <font>
      <sz val="8"/>
      <color rgb="FFFF0000"/>
      <name val="Arial"/>
      <family val="2"/>
    </font>
    <font>
      <sz val="10"/>
      <color rgb="FF242424"/>
      <name val="Calibri"/>
      <family val="2"/>
      <scheme val="minor"/>
    </font>
    <font>
      <sz val="10"/>
      <color rgb="FF000000"/>
      <name val="Calibri"/>
      <family val="2"/>
      <scheme val="minor"/>
    </font>
    <font>
      <sz val="10"/>
      <color theme="1"/>
      <name val="Calibri"/>
      <family val="2"/>
    </font>
    <font>
      <b/>
      <sz val="14"/>
      <color rgb="FFC00000"/>
      <name val="Calibri"/>
      <family val="2"/>
      <scheme val="minor"/>
    </font>
    <font>
      <b/>
      <i/>
      <sz val="14"/>
      <color rgb="FFC00000"/>
      <name val="Calibri"/>
      <family val="2"/>
      <scheme val="minor"/>
    </font>
    <font>
      <b/>
      <sz val="11"/>
      <color rgb="FFC00000"/>
      <name val="Calibri"/>
      <family val="2"/>
      <scheme val="minor"/>
    </font>
    <font>
      <b/>
      <u/>
      <sz val="16"/>
      <color theme="1"/>
      <name val="Calibri"/>
      <family val="2"/>
    </font>
    <font>
      <b/>
      <sz val="16"/>
      <color theme="1"/>
      <name val="Calibri"/>
      <family val="2"/>
    </font>
    <font>
      <b/>
      <i/>
      <u/>
      <sz val="14"/>
      <color theme="1"/>
      <name val="Calibri"/>
      <family val="2"/>
    </font>
    <font>
      <b/>
      <i/>
      <sz val="14"/>
      <color theme="1"/>
      <name val="Calibri"/>
      <family val="2"/>
    </font>
    <font>
      <b/>
      <i/>
      <u/>
      <sz val="20"/>
      <color theme="1"/>
      <name val="Calibri"/>
      <family val="2"/>
    </font>
    <font>
      <b/>
      <i/>
      <sz val="20"/>
      <color theme="1"/>
      <name val="Calibri"/>
      <family val="2"/>
    </font>
    <font>
      <b/>
      <sz val="8"/>
      <color rgb="FFC00000"/>
      <name val="Calibri"/>
      <family val="2"/>
    </font>
    <font>
      <b/>
      <sz val="14"/>
      <name val="Calibri"/>
      <family val="2"/>
      <scheme val="minor"/>
    </font>
    <font>
      <b/>
      <i/>
      <sz val="16"/>
      <color rgb="FFC00000"/>
      <name val="Calibri"/>
      <family val="2"/>
      <scheme val="minor"/>
    </font>
    <font>
      <b/>
      <i/>
      <sz val="12"/>
      <color rgb="FF000000"/>
      <name val="Calibri"/>
      <family val="2"/>
    </font>
    <font>
      <b/>
      <i/>
      <u/>
      <sz val="12"/>
      <color rgb="FF000000"/>
      <name val="Calibri"/>
      <family val="2"/>
    </font>
    <font>
      <b/>
      <i/>
      <sz val="10"/>
      <color theme="0"/>
      <name val="Calibri"/>
      <family val="2"/>
      <scheme val="minor"/>
    </font>
    <font>
      <sz val="14"/>
      <color theme="1"/>
      <name val="Calibri"/>
      <family val="2"/>
      <scheme val="minor"/>
    </font>
    <font>
      <b/>
      <i/>
      <sz val="12"/>
      <color rgb="FFC00000"/>
      <name val="Calibri"/>
      <family val="2"/>
      <scheme val="minor"/>
    </font>
    <font>
      <b/>
      <sz val="12"/>
      <color rgb="FFC00000"/>
      <name val="Calibri"/>
      <family val="2"/>
      <scheme val="minor"/>
    </font>
    <font>
      <b/>
      <i/>
      <sz val="11"/>
      <color rgb="FFC00000"/>
      <name val="Calibri"/>
      <family val="2"/>
      <scheme val="minor"/>
    </font>
    <font>
      <b/>
      <sz val="12"/>
      <color theme="0"/>
      <name val="Calibri"/>
      <family val="2"/>
      <scheme val="minor"/>
    </font>
    <font>
      <b/>
      <sz val="20"/>
      <color theme="0"/>
      <name val="Arial"/>
      <family val="2"/>
    </font>
    <font>
      <b/>
      <sz val="16"/>
      <color rgb="FFFF0000"/>
      <name val="Calibri"/>
      <family val="2"/>
      <scheme val="minor"/>
    </font>
    <font>
      <sz val="14"/>
      <color rgb="FF000000"/>
      <name val="Calibri"/>
      <family val="2"/>
    </font>
    <font>
      <sz val="18"/>
      <color rgb="FF000000"/>
      <name val="Calibri"/>
      <family val="2"/>
    </font>
    <font>
      <b/>
      <sz val="8"/>
      <color theme="1"/>
      <name val="Calibri"/>
      <family val="2"/>
      <scheme val="minor"/>
    </font>
    <font>
      <b/>
      <u/>
      <sz val="8"/>
      <color theme="1"/>
      <name val="Calibri"/>
      <family val="2"/>
      <scheme val="minor"/>
    </font>
  </fonts>
  <fills count="80">
    <fill>
      <patternFill patternType="none"/>
    </fill>
    <fill>
      <patternFill patternType="gray125"/>
    </fill>
    <fill>
      <patternFill patternType="solid">
        <fgColor rgb="FFCCFFCC"/>
        <bgColor rgb="FF000000"/>
      </patternFill>
    </fill>
    <fill>
      <patternFill patternType="solid">
        <fgColor rgb="FF00CCFF"/>
        <bgColor rgb="FF000000"/>
      </patternFill>
    </fill>
    <fill>
      <patternFill patternType="solid">
        <fgColor rgb="FFFFCC00"/>
        <bgColor rgb="FF000000"/>
      </patternFill>
    </fill>
    <fill>
      <patternFill patternType="solid">
        <fgColor rgb="FFCCFFFF"/>
        <bgColor rgb="FF000000"/>
      </patternFill>
    </fill>
    <fill>
      <patternFill patternType="solid">
        <fgColor rgb="FFFFFF99"/>
        <bgColor rgb="FF000000"/>
      </patternFill>
    </fill>
    <fill>
      <patternFill patternType="solid">
        <fgColor rgb="FFBFBFBF"/>
        <bgColor rgb="FF000000"/>
      </patternFill>
    </fill>
    <fill>
      <patternFill patternType="solid">
        <fgColor rgb="FFEBF1DE"/>
        <bgColor rgb="FF000000"/>
      </patternFill>
    </fill>
    <fill>
      <patternFill patternType="solid">
        <fgColor rgb="FFD9D9D9"/>
        <bgColor rgb="FF000000"/>
      </patternFill>
    </fill>
    <fill>
      <patternFill patternType="solid">
        <fgColor rgb="FFD8E4BC"/>
        <bgColor rgb="FF000000"/>
      </patternFill>
    </fill>
    <fill>
      <patternFill patternType="solid">
        <fgColor rgb="FFF2F2F2"/>
        <bgColor rgb="FF000000"/>
      </patternFill>
    </fill>
    <fill>
      <patternFill patternType="solid">
        <fgColor rgb="FF92D050"/>
        <bgColor rgb="FF000000"/>
      </patternFill>
    </fill>
    <fill>
      <patternFill patternType="solid">
        <fgColor rgb="FFFF99CC"/>
        <bgColor rgb="FF000000"/>
      </patternFill>
    </fill>
    <fill>
      <patternFill patternType="solid">
        <fgColor rgb="FF99CC00"/>
        <bgColor rgb="FF000000"/>
      </patternFill>
    </fill>
    <fill>
      <patternFill patternType="solid">
        <fgColor rgb="FFCC99FF"/>
        <bgColor rgb="FF000000"/>
      </patternFill>
    </fill>
    <fill>
      <patternFill patternType="solid">
        <fgColor rgb="FF00ABEA"/>
        <bgColor rgb="FF000000"/>
      </patternFill>
    </fill>
    <fill>
      <patternFill patternType="solid">
        <fgColor rgb="FF3366FF"/>
        <bgColor rgb="FF000000"/>
      </patternFill>
    </fill>
    <fill>
      <patternFill patternType="solid">
        <fgColor rgb="FFFF9900"/>
        <bgColor rgb="FF000000"/>
      </patternFill>
    </fill>
    <fill>
      <patternFill patternType="solid">
        <fgColor theme="8" tint="0.59996337778862885"/>
        <bgColor indexed="64"/>
      </patternFill>
    </fill>
    <fill>
      <patternFill patternType="solid">
        <fgColor rgb="FFFFFFFF"/>
        <bgColor rgb="FF000000"/>
      </patternFill>
    </fill>
    <fill>
      <patternFill patternType="solid">
        <fgColor rgb="FFFFFF00"/>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BDD7EE"/>
        <bgColor rgb="FF000000"/>
      </patternFill>
    </fill>
    <fill>
      <patternFill patternType="solid">
        <fgColor theme="8"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4"/>
        <bgColor indexed="64"/>
      </patternFill>
    </fill>
    <fill>
      <patternFill patternType="solid">
        <fgColor theme="8" tint="0.79998168889431442"/>
        <bgColor rgb="FF000000"/>
      </patternFill>
    </fill>
    <fill>
      <patternFill patternType="solid">
        <fgColor theme="8" tint="0.59999389629810485"/>
        <bgColor indexed="64"/>
      </patternFill>
    </fill>
    <fill>
      <patternFill patternType="solid">
        <fgColor rgb="FFFFFFFF"/>
        <bgColor indexed="64"/>
      </patternFill>
    </fill>
    <fill>
      <patternFill patternType="solid">
        <fgColor rgb="FFD9D9D9"/>
        <bgColor indexed="64"/>
      </patternFill>
    </fill>
    <fill>
      <patternFill patternType="solid">
        <fgColor theme="2" tint="-0.249977111117893"/>
        <bgColor indexed="64"/>
      </patternFill>
    </fill>
    <fill>
      <patternFill patternType="solid">
        <fgColor rgb="FFFFC000"/>
        <bgColor indexed="64"/>
      </patternFill>
    </fill>
    <fill>
      <patternFill patternType="solid">
        <fgColor rgb="FF00B0F0"/>
        <bgColor indexed="64"/>
      </patternFill>
    </fill>
    <fill>
      <patternFill patternType="solid">
        <fgColor rgb="FF00B050"/>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indexed="22"/>
        <bgColor indexed="64"/>
      </patternFill>
    </fill>
    <fill>
      <patternFill patternType="solid">
        <fgColor indexed="42"/>
        <bgColor indexed="64"/>
      </patternFill>
    </fill>
    <fill>
      <patternFill patternType="solid">
        <fgColor indexed="43"/>
        <bgColor indexed="64"/>
      </patternFill>
    </fill>
    <fill>
      <patternFill patternType="solid">
        <fgColor indexed="41"/>
        <bgColor indexed="64"/>
      </patternFill>
    </fill>
    <fill>
      <patternFill patternType="solid">
        <fgColor indexed="15"/>
        <bgColor indexed="64"/>
      </patternFill>
    </fill>
    <fill>
      <patternFill patternType="solid">
        <fgColor indexed="13"/>
        <bgColor indexed="64"/>
      </patternFill>
    </fill>
    <fill>
      <patternFill patternType="solid">
        <fgColor rgb="FFDDEBF7"/>
        <bgColor rgb="FF000000"/>
      </patternFill>
    </fill>
    <fill>
      <patternFill patternType="solid">
        <fgColor rgb="FFFFFF00"/>
        <bgColor rgb="FF000000"/>
      </patternFill>
    </fill>
    <fill>
      <patternFill patternType="solid">
        <fgColor rgb="FFFF0000"/>
        <bgColor rgb="FF000000"/>
      </patternFill>
    </fill>
    <fill>
      <patternFill patternType="solid">
        <fgColor rgb="FF000000"/>
        <bgColor rgb="FF000000"/>
      </patternFill>
    </fill>
    <fill>
      <patternFill patternType="solid">
        <fgColor rgb="FF92D050"/>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2" tint="-0.499984740745262"/>
        <bgColor indexed="64"/>
      </patternFill>
    </fill>
    <fill>
      <patternFill patternType="solid">
        <fgColor theme="7" tint="0.79998168889431442"/>
        <bgColor indexed="64"/>
      </patternFill>
    </fill>
    <fill>
      <patternFill patternType="solid">
        <fgColor theme="0" tint="-0.34998626667073579"/>
        <bgColor indexed="64"/>
      </patternFill>
    </fill>
    <fill>
      <patternFill patternType="solid">
        <fgColor rgb="FFFF0000"/>
        <bgColor indexed="64"/>
      </patternFill>
    </fill>
    <fill>
      <patternFill patternType="solid">
        <fgColor rgb="FFE2EFDA"/>
        <bgColor rgb="FF000000"/>
      </patternFill>
    </fill>
    <fill>
      <patternFill patternType="solid">
        <fgColor theme="0"/>
        <bgColor rgb="FF000000"/>
      </patternFill>
    </fill>
    <fill>
      <patternFill patternType="solid">
        <fgColor theme="8" tint="0.59999389629810485"/>
        <bgColor rgb="FF000000"/>
      </patternFill>
    </fill>
    <fill>
      <patternFill patternType="solid">
        <fgColor theme="1"/>
        <bgColor indexed="64"/>
      </patternFill>
    </fill>
    <fill>
      <patternFill patternType="solid">
        <fgColor theme="9" tint="0.79998168889431442"/>
        <bgColor rgb="FF000000"/>
      </patternFill>
    </fill>
    <fill>
      <patternFill patternType="solid">
        <fgColor rgb="FFC6E0B4"/>
        <bgColor rgb="FF000000"/>
      </patternFill>
    </fill>
    <fill>
      <patternFill patternType="solid">
        <fgColor theme="9" tint="0.59999389629810485"/>
        <bgColor indexed="64"/>
      </patternFill>
    </fill>
    <fill>
      <patternFill patternType="solid">
        <fgColor theme="9" tint="0.59999389629810485"/>
        <bgColor rgb="FF000000"/>
      </patternFill>
    </fill>
    <fill>
      <patternFill patternType="solid">
        <fgColor theme="2" tint="-9.9978637043366805E-2"/>
        <bgColor rgb="FF000000"/>
      </patternFill>
    </fill>
    <fill>
      <patternFill patternType="solid">
        <fgColor rgb="FFE7E6E6"/>
        <bgColor rgb="FF000000"/>
      </patternFill>
    </fill>
    <fill>
      <patternFill patternType="solid">
        <fgColor rgb="FFA9D08E"/>
        <bgColor rgb="FF000000"/>
      </patternFill>
    </fill>
    <fill>
      <patternFill patternType="solid">
        <fgColor theme="7" tint="0.39997558519241921"/>
        <bgColor indexed="64"/>
      </patternFill>
    </fill>
    <fill>
      <patternFill patternType="solid">
        <fgColor theme="9" tint="0.39997558519241921"/>
        <bgColor indexed="64"/>
      </patternFill>
    </fill>
    <fill>
      <patternFill patternType="solid">
        <fgColor theme="0" tint="-4.9989318521683403E-2"/>
        <bgColor rgb="FF000000"/>
      </patternFill>
    </fill>
    <fill>
      <patternFill patternType="solid">
        <fgColor theme="2"/>
        <bgColor rgb="FF000000"/>
      </patternFill>
    </fill>
    <fill>
      <patternFill patternType="solid">
        <fgColor theme="6" tint="0.79998168889431442"/>
        <bgColor rgb="FF000000"/>
      </patternFill>
    </fill>
    <fill>
      <patternFill patternType="solid">
        <fgColor theme="0" tint="-0.249977111117893"/>
        <bgColor rgb="FF000000"/>
      </patternFill>
    </fill>
    <fill>
      <patternFill patternType="solid">
        <fgColor theme="5" tint="0.39997558519241921"/>
        <bgColor indexed="64"/>
      </patternFill>
    </fill>
    <fill>
      <patternFill patternType="solid">
        <fgColor theme="0" tint="-0.14999847407452621"/>
        <bgColor rgb="FF000000"/>
      </patternFill>
    </fill>
  </fills>
  <borders count="20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style="medium">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right/>
      <top style="thin">
        <color indexed="64"/>
      </top>
      <bottom style="medium">
        <color indexed="64"/>
      </bottom>
      <diagonal/>
    </border>
    <border>
      <left style="thin">
        <color indexed="64"/>
      </left>
      <right style="medium">
        <color indexed="64"/>
      </right>
      <top/>
      <bottom/>
      <diagonal/>
    </border>
    <border>
      <left style="thin">
        <color rgb="FF000000"/>
      </left>
      <right style="thin">
        <color rgb="FF000000"/>
      </right>
      <top style="thin">
        <color rgb="FF000000"/>
      </top>
      <bottom style="thin">
        <color rgb="FF000000"/>
      </bottom>
      <diagonal/>
    </border>
    <border>
      <left style="medium">
        <color indexed="64"/>
      </left>
      <right/>
      <top style="thin">
        <color indexed="64"/>
      </top>
      <bottom/>
      <diagonal/>
    </border>
    <border>
      <left style="double">
        <color indexed="64"/>
      </left>
      <right style="double">
        <color indexed="64"/>
      </right>
      <top style="double">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top/>
      <bottom style="double">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style="double">
        <color indexed="64"/>
      </top>
      <bottom/>
      <diagonal/>
    </border>
    <border>
      <left style="double">
        <color indexed="64"/>
      </left>
      <right style="double">
        <color indexed="64"/>
      </right>
      <top style="medium">
        <color indexed="64"/>
      </top>
      <bottom style="medium">
        <color indexed="64"/>
      </bottom>
      <diagonal/>
    </border>
    <border>
      <left/>
      <right style="double">
        <color indexed="64"/>
      </right>
      <top/>
      <bottom/>
      <diagonal/>
    </border>
    <border>
      <left style="double">
        <color indexed="64"/>
      </left>
      <right style="double">
        <color indexed="64"/>
      </right>
      <top/>
      <bottom/>
      <diagonal/>
    </border>
    <border>
      <left style="medium">
        <color indexed="64"/>
      </left>
      <right style="medium">
        <color indexed="64"/>
      </right>
      <top/>
      <bottom style="double">
        <color indexed="64"/>
      </bottom>
      <diagonal/>
    </border>
    <border>
      <left/>
      <right style="double">
        <color indexed="64"/>
      </right>
      <top/>
      <bottom style="double">
        <color indexed="64"/>
      </bottom>
      <diagonal/>
    </border>
    <border>
      <left style="double">
        <color indexed="64"/>
      </left>
      <right style="double">
        <color indexed="64"/>
      </right>
      <top/>
      <bottom style="double">
        <color indexed="64"/>
      </bottom>
      <diagonal/>
    </border>
    <border>
      <left style="double">
        <color indexed="64"/>
      </left>
      <right/>
      <top/>
      <bottom style="double">
        <color indexed="64"/>
      </bottom>
      <diagonal/>
    </border>
    <border>
      <left style="double">
        <color indexed="64"/>
      </left>
      <right/>
      <top/>
      <bottom/>
      <diagonal/>
    </border>
    <border>
      <left style="medium">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top style="hair">
        <color auto="1"/>
      </top>
      <bottom style="hair">
        <color auto="1"/>
      </bottom>
      <diagonal/>
    </border>
    <border>
      <left/>
      <right/>
      <top style="hair">
        <color auto="1"/>
      </top>
      <bottom style="hair">
        <color auto="1"/>
      </bottom>
      <diagonal/>
    </border>
    <border>
      <left/>
      <right style="medium">
        <color indexed="64"/>
      </right>
      <top style="hair">
        <color auto="1"/>
      </top>
      <bottom style="hair">
        <color auto="1"/>
      </bottom>
      <diagonal/>
    </border>
    <border>
      <left style="medium">
        <color indexed="64"/>
      </left>
      <right/>
      <top style="hair">
        <color auto="1"/>
      </top>
      <bottom/>
      <diagonal/>
    </border>
    <border>
      <left/>
      <right/>
      <top style="hair">
        <color auto="1"/>
      </top>
      <bottom/>
      <diagonal/>
    </border>
    <border>
      <left/>
      <right style="medium">
        <color indexed="64"/>
      </right>
      <top style="hair">
        <color auto="1"/>
      </top>
      <bottom/>
      <diagonal/>
    </border>
    <border>
      <left style="medium">
        <color indexed="64"/>
      </left>
      <right/>
      <top/>
      <bottom style="hair">
        <color auto="1"/>
      </bottom>
      <diagonal/>
    </border>
    <border>
      <left/>
      <right/>
      <top/>
      <bottom style="hair">
        <color auto="1"/>
      </bottom>
      <diagonal/>
    </border>
    <border>
      <left/>
      <right style="medium">
        <color indexed="64"/>
      </right>
      <top/>
      <bottom style="hair">
        <color auto="1"/>
      </bottom>
      <diagonal/>
    </border>
    <border>
      <left style="medium">
        <color theme="9" tint="0.39994506668294322"/>
      </left>
      <right/>
      <top style="medium">
        <color theme="9" tint="0.39994506668294322"/>
      </top>
      <bottom style="medium">
        <color theme="9" tint="0.39994506668294322"/>
      </bottom>
      <diagonal/>
    </border>
    <border>
      <left/>
      <right/>
      <top style="medium">
        <color theme="9" tint="0.39994506668294322"/>
      </top>
      <bottom style="medium">
        <color theme="9" tint="0.39994506668294322"/>
      </bottom>
      <diagonal/>
    </border>
    <border>
      <left/>
      <right style="medium">
        <color theme="9" tint="0.39994506668294322"/>
      </right>
      <top style="medium">
        <color theme="9" tint="0.39994506668294322"/>
      </top>
      <bottom style="medium">
        <color theme="9" tint="0.39994506668294322"/>
      </bottom>
      <diagonal/>
    </border>
    <border>
      <left style="thin">
        <color indexed="64"/>
      </left>
      <right/>
      <top style="medium">
        <color indexed="64"/>
      </top>
      <bottom style="medium">
        <color indexed="64"/>
      </bottom>
      <diagonal/>
    </border>
    <border>
      <left style="medium">
        <color rgb="FFA9D08E"/>
      </left>
      <right/>
      <top style="medium">
        <color rgb="FFA9D08E"/>
      </top>
      <bottom style="medium">
        <color rgb="FFA9D08E"/>
      </bottom>
      <diagonal/>
    </border>
    <border>
      <left/>
      <right/>
      <top style="medium">
        <color rgb="FFA9D08E"/>
      </top>
      <bottom style="medium">
        <color rgb="FFA9D08E"/>
      </bottom>
      <diagonal/>
    </border>
    <border>
      <left/>
      <right style="medium">
        <color rgb="FFA9D08E"/>
      </right>
      <top style="medium">
        <color rgb="FFA9D08E"/>
      </top>
      <bottom style="medium">
        <color rgb="FFA9D08E"/>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top style="medium">
        <color indexed="64"/>
      </top>
      <bottom style="medium">
        <color indexed="64"/>
      </bottom>
      <diagonal/>
    </border>
    <border>
      <left style="dotted">
        <color indexed="64"/>
      </left>
      <right style="dotted">
        <color indexed="64"/>
      </right>
      <top style="medium">
        <color indexed="64"/>
      </top>
      <bottom/>
      <diagonal/>
    </border>
    <border>
      <left style="dotted">
        <color indexed="64"/>
      </left>
      <right/>
      <top/>
      <bottom style="dotted">
        <color indexed="64"/>
      </bottom>
      <diagonal/>
    </border>
    <border>
      <left style="dotted">
        <color indexed="64"/>
      </left>
      <right/>
      <top style="dotted">
        <color indexed="64"/>
      </top>
      <bottom style="dotted">
        <color indexed="64"/>
      </bottom>
      <diagonal/>
    </border>
    <border>
      <left/>
      <right style="medium">
        <color auto="1"/>
      </right>
      <top style="dotted">
        <color indexed="64"/>
      </top>
      <bottom style="dotted">
        <color indexed="64"/>
      </bottom>
      <diagonal/>
    </border>
    <border>
      <left style="dashed">
        <color indexed="64"/>
      </left>
      <right style="dotted">
        <color indexed="64"/>
      </right>
      <top style="medium">
        <color indexed="64"/>
      </top>
      <bottom style="medium">
        <color indexed="64"/>
      </bottom>
      <diagonal/>
    </border>
    <border>
      <left style="dashed">
        <color auto="1"/>
      </left>
      <right/>
      <top style="medium">
        <color auto="1"/>
      </top>
      <bottom style="medium">
        <color auto="1"/>
      </bottom>
      <diagonal/>
    </border>
    <border>
      <left style="dotted">
        <color indexed="64"/>
      </left>
      <right style="dotted">
        <color indexed="64"/>
      </right>
      <top/>
      <bottom style="medium">
        <color indexed="64"/>
      </bottom>
      <diagonal/>
    </border>
    <border>
      <left style="dotted">
        <color indexed="64"/>
      </left>
      <right/>
      <top style="medium">
        <color indexed="64"/>
      </top>
      <bottom style="dotted">
        <color indexed="64"/>
      </bottom>
      <diagonal/>
    </border>
    <border>
      <left style="dotted">
        <color indexed="64"/>
      </left>
      <right/>
      <top style="dotted">
        <color indexed="64"/>
      </top>
      <bottom style="medium">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medium">
        <color indexed="64"/>
      </bottom>
      <diagonal/>
    </border>
    <border>
      <left style="hair">
        <color indexed="64"/>
      </left>
      <right/>
      <top style="hair">
        <color auto="1"/>
      </top>
      <bottom style="hair">
        <color auto="1"/>
      </bottom>
      <diagonal/>
    </border>
    <border>
      <left style="medium">
        <color indexed="64"/>
      </left>
      <right style="dotted">
        <color indexed="64"/>
      </right>
      <top/>
      <bottom style="dotted">
        <color indexed="64"/>
      </bottom>
      <diagonal/>
    </border>
    <border>
      <left/>
      <right style="dotted">
        <color indexed="64"/>
      </right>
      <top style="medium">
        <color indexed="64"/>
      </top>
      <bottom style="dotted">
        <color indexed="64"/>
      </bottom>
      <diagonal/>
    </border>
    <border>
      <left/>
      <right style="dotted">
        <color indexed="64"/>
      </right>
      <top/>
      <bottom style="dotted">
        <color indexed="64"/>
      </bottom>
      <diagonal/>
    </border>
    <border>
      <left style="medium">
        <color rgb="FFA9D08E"/>
      </left>
      <right/>
      <top/>
      <bottom/>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bottom style="medium">
        <color indexed="64"/>
      </bottom>
      <diagonal/>
    </border>
    <border>
      <left/>
      <right style="dotted">
        <color indexed="64"/>
      </right>
      <top style="medium">
        <color indexed="64"/>
      </top>
      <bottom style="medium">
        <color indexed="64"/>
      </bottom>
      <diagonal/>
    </border>
    <border>
      <left/>
      <right style="medium">
        <color indexed="64"/>
      </right>
      <top style="thin">
        <color indexed="64"/>
      </top>
      <bottom/>
      <diagonal/>
    </border>
    <border>
      <left style="medium">
        <color indexed="64"/>
      </left>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dotted">
        <color indexed="64"/>
      </bottom>
      <diagonal/>
    </border>
    <border>
      <left style="medium">
        <color indexed="64"/>
      </left>
      <right style="medium">
        <color indexed="64"/>
      </right>
      <top style="dotted">
        <color indexed="64"/>
      </top>
      <bottom style="dotted">
        <color indexed="64"/>
      </bottom>
      <diagonal/>
    </border>
    <border>
      <left/>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dotted">
        <color indexed="64"/>
      </top>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right style="dotted">
        <color indexed="64"/>
      </right>
      <top/>
      <bottom/>
      <diagonal/>
    </border>
    <border>
      <left style="dotted">
        <color indexed="64"/>
      </left>
      <right style="dotted">
        <color indexed="64"/>
      </right>
      <top/>
      <bottom/>
      <diagonal/>
    </border>
    <border>
      <left style="medium">
        <color indexed="64"/>
      </left>
      <right style="medium">
        <color indexed="64"/>
      </right>
      <top/>
      <bottom style="dotted">
        <color indexed="64"/>
      </bottom>
      <diagonal/>
    </border>
    <border>
      <left style="medium">
        <color indexed="64"/>
      </left>
      <right/>
      <top style="dotted">
        <color indexed="64"/>
      </top>
      <bottom/>
      <diagonal/>
    </border>
    <border>
      <left/>
      <right/>
      <top style="dotted">
        <color indexed="64"/>
      </top>
      <bottom/>
      <diagonal/>
    </border>
    <border>
      <left/>
      <right style="medium">
        <color auto="1"/>
      </right>
      <top style="dotted">
        <color indexed="64"/>
      </top>
      <bottom/>
      <diagonal/>
    </border>
    <border>
      <left style="medium">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top style="dashed">
        <color indexed="64"/>
      </top>
      <bottom style="dotted">
        <color indexed="64"/>
      </bottom>
      <diagonal/>
    </border>
    <border>
      <left/>
      <right/>
      <top style="dashed">
        <color indexed="64"/>
      </top>
      <bottom style="dotted">
        <color indexed="64"/>
      </bottom>
      <diagonal/>
    </border>
    <border>
      <left/>
      <right style="medium">
        <color indexed="64"/>
      </right>
      <top style="dashed">
        <color indexed="64"/>
      </top>
      <bottom style="dotted">
        <color indexed="64"/>
      </bottom>
      <diagonal/>
    </border>
    <border>
      <left style="medium">
        <color indexed="64"/>
      </left>
      <right/>
      <top/>
      <bottom style="dotted">
        <color indexed="64"/>
      </bottom>
      <diagonal/>
    </border>
    <border>
      <left/>
      <right/>
      <top/>
      <bottom style="dotted">
        <color indexed="64"/>
      </bottom>
      <diagonal/>
    </border>
    <border>
      <left/>
      <right style="medium">
        <color auto="1"/>
      </right>
      <top/>
      <bottom style="dotted">
        <color indexed="64"/>
      </bottom>
      <diagonal/>
    </border>
    <border>
      <left style="medium">
        <color indexed="64"/>
      </left>
      <right style="double">
        <color indexed="64"/>
      </right>
      <top style="double">
        <color indexed="64"/>
      </top>
      <bottom style="double">
        <color indexed="64"/>
      </bottom>
      <diagonal/>
    </border>
    <border>
      <left style="medium">
        <color indexed="64"/>
      </left>
      <right/>
      <top style="double">
        <color indexed="64"/>
      </top>
      <bottom style="double">
        <color indexed="64"/>
      </bottom>
      <diagonal/>
    </border>
    <border>
      <left style="medium">
        <color indexed="64"/>
      </left>
      <right style="double">
        <color indexed="64"/>
      </right>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style="medium">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style="medium">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style="double">
        <color auto="1"/>
      </left>
      <right style="double">
        <color auto="1"/>
      </right>
      <top/>
      <bottom style="thin">
        <color indexed="64"/>
      </bottom>
      <diagonal/>
    </border>
    <border>
      <left style="double">
        <color auto="1"/>
      </left>
      <right style="double">
        <color auto="1"/>
      </right>
      <top style="thin">
        <color indexed="64"/>
      </top>
      <bottom/>
      <diagonal/>
    </border>
    <border>
      <left style="double">
        <color indexed="64"/>
      </left>
      <right style="double">
        <color indexed="64"/>
      </right>
      <top style="double">
        <color indexed="64"/>
      </top>
      <bottom style="thin">
        <color indexed="64"/>
      </bottom>
      <diagonal/>
    </border>
    <border>
      <left style="double">
        <color auto="1"/>
      </left>
      <right/>
      <top/>
      <bottom style="thin">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thin">
        <color indexed="64"/>
      </top>
      <bottom style="medium">
        <color auto="1"/>
      </bottom>
      <diagonal/>
    </border>
    <border>
      <left style="double">
        <color indexed="64"/>
      </left>
      <right/>
      <top style="double">
        <color indexed="64"/>
      </top>
      <bottom/>
      <diagonal/>
    </border>
    <border>
      <left/>
      <right style="double">
        <color indexed="64"/>
      </right>
      <top style="double">
        <color indexed="64"/>
      </top>
      <bottom/>
      <diagonal/>
    </border>
  </borders>
  <cellStyleXfs count="21">
    <xf numFmtId="0" fontId="0" fillId="0" borderId="0"/>
    <xf numFmtId="167" fontId="1" fillId="0" borderId="0" applyFont="0" applyFill="0" applyBorder="0" applyAlignment="0" applyProtection="0"/>
    <xf numFmtId="9" fontId="1" fillId="0" borderId="0" applyFont="0" applyFill="0" applyBorder="0" applyAlignment="0" applyProtection="0"/>
    <xf numFmtId="0" fontId="4" fillId="0" borderId="0"/>
    <xf numFmtId="0" fontId="2" fillId="0" borderId="0"/>
    <xf numFmtId="169" fontId="11" fillId="0" borderId="0" applyFont="0" applyFill="0" applyBorder="0" applyAlignment="0" applyProtection="0"/>
    <xf numFmtId="9" fontId="11" fillId="0" borderId="0" applyFont="0" applyFill="0" applyBorder="0" applyAlignment="0" applyProtection="0"/>
    <xf numFmtId="0" fontId="1" fillId="0" borderId="0"/>
    <xf numFmtId="168" fontId="1" fillId="0" borderId="0" applyFont="0" applyFill="0" applyBorder="0" applyAlignment="0" applyProtection="0"/>
    <xf numFmtId="166" fontId="1" fillId="0" borderId="0" applyFont="0" applyFill="0" applyBorder="0" applyAlignment="0" applyProtection="0"/>
    <xf numFmtId="0" fontId="62" fillId="0" borderId="0" applyNumberFormat="0" applyFill="0" applyBorder="0" applyAlignment="0" applyProtection="0">
      <alignment vertical="top"/>
      <protection locked="0"/>
    </xf>
    <xf numFmtId="186" fontId="4" fillId="0" borderId="0" applyFont="0" applyFill="0" applyBorder="0" applyAlignment="0" applyProtection="0"/>
    <xf numFmtId="0" fontId="4" fillId="0" borderId="0"/>
    <xf numFmtId="9" fontId="4" fillId="0" borderId="0" applyFont="0" applyFill="0" applyBorder="0" applyAlignment="0" applyProtection="0"/>
    <xf numFmtId="195" fontId="4" fillId="0" borderId="0" applyFont="0" applyFill="0" applyBorder="0" applyAlignment="0" applyProtection="0"/>
    <xf numFmtId="169" fontId="1" fillId="0" borderId="0" applyFont="0" applyFill="0" applyBorder="0" applyAlignment="0" applyProtection="0"/>
    <xf numFmtId="164" fontId="1" fillId="0" borderId="0" applyFont="0" applyFill="0" applyBorder="0" applyAlignment="0" applyProtection="0"/>
    <xf numFmtId="0" fontId="112" fillId="0" borderId="0" applyNumberFormat="0" applyFill="0" applyBorder="0" applyAlignment="0" applyProtection="0"/>
    <xf numFmtId="0" fontId="136" fillId="0" borderId="0"/>
    <xf numFmtId="44" fontId="1" fillId="0" borderId="0" applyFont="0" applyFill="0" applyBorder="0" applyAlignment="0" applyProtection="0"/>
    <xf numFmtId="0" fontId="11" fillId="0" borderId="0"/>
  </cellStyleXfs>
  <cellXfs count="2259">
    <xf numFmtId="0" fontId="0" fillId="0" borderId="0" xfId="0"/>
    <xf numFmtId="0" fontId="2" fillId="0" borderId="0" xfId="0" applyFont="1"/>
    <xf numFmtId="0" fontId="3" fillId="0" borderId="0" xfId="0" applyFont="1"/>
    <xf numFmtId="0" fontId="5" fillId="2" borderId="0" xfId="3" applyFont="1" applyFill="1" applyAlignment="1">
      <alignment vertical="top"/>
    </xf>
    <xf numFmtId="0" fontId="5" fillId="2" borderId="0" xfId="3" applyFont="1" applyFill="1" applyAlignment="1">
      <alignment vertical="top" wrapText="1"/>
    </xf>
    <xf numFmtId="0" fontId="6" fillId="3" borderId="0" xfId="3" applyFont="1" applyFill="1" applyAlignment="1">
      <alignment horizontal="center" vertical="top" wrapText="1"/>
    </xf>
    <xf numFmtId="0" fontId="7" fillId="0" borderId="0" xfId="0" applyFont="1" applyAlignment="1">
      <alignment vertical="center"/>
    </xf>
    <xf numFmtId="9" fontId="2" fillId="0" borderId="0" xfId="0" applyNumberFormat="1" applyFont="1"/>
    <xf numFmtId="0" fontId="5" fillId="2" borderId="0" xfId="3" applyFont="1" applyFill="1"/>
    <xf numFmtId="0" fontId="5" fillId="2" borderId="0" xfId="3" applyFont="1" applyFill="1" applyAlignment="1">
      <alignment wrapText="1"/>
    </xf>
    <xf numFmtId="0" fontId="5" fillId="4" borderId="0" xfId="3" applyFont="1" applyFill="1" applyAlignment="1">
      <alignment horizontal="center" wrapText="1"/>
    </xf>
    <xf numFmtId="0" fontId="5" fillId="5" borderId="0" xfId="3" applyFont="1" applyFill="1" applyAlignment="1">
      <alignment vertical="center"/>
    </xf>
    <xf numFmtId="0" fontId="5" fillId="5" borderId="0" xfId="3" applyFont="1" applyFill="1" applyAlignment="1">
      <alignment vertical="center" wrapText="1"/>
    </xf>
    <xf numFmtId="0" fontId="5" fillId="5" borderId="0" xfId="3" applyFont="1" applyFill="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9" fontId="2" fillId="0" borderId="0" xfId="2" applyFont="1" applyFill="1" applyBorder="1" applyAlignment="1">
      <alignment horizontal="center" vertical="center"/>
    </xf>
    <xf numFmtId="9" fontId="2" fillId="0" borderId="2" xfId="2" applyFont="1" applyFill="1" applyBorder="1" applyAlignment="1">
      <alignment horizontal="center" vertical="center"/>
    </xf>
    <xf numFmtId="9" fontId="2" fillId="0" borderId="1" xfId="2" applyFont="1" applyFill="1" applyBorder="1" applyAlignment="1">
      <alignment horizontal="center" vertical="center"/>
    </xf>
    <xf numFmtId="0" fontId="5" fillId="6" borderId="0" xfId="3" applyFont="1" applyFill="1" applyAlignment="1">
      <alignment vertical="center"/>
    </xf>
    <xf numFmtId="0" fontId="5" fillId="6" borderId="0" xfId="3" applyFont="1" applyFill="1" applyAlignment="1">
      <alignment vertical="center" wrapText="1"/>
    </xf>
    <xf numFmtId="0" fontId="5" fillId="6" borderId="0" xfId="3" applyFont="1" applyFill="1" applyAlignment="1">
      <alignment horizontal="center" vertical="center"/>
    </xf>
    <xf numFmtId="0" fontId="2" fillId="0" borderId="0" xfId="0" quotePrefix="1" applyFont="1" applyAlignment="1">
      <alignment wrapText="1"/>
    </xf>
    <xf numFmtId="0" fontId="2" fillId="7" borderId="0" xfId="0" applyFont="1" applyFill="1"/>
    <xf numFmtId="0" fontId="2" fillId="0" borderId="0" xfId="0" quotePrefix="1" applyFont="1"/>
    <xf numFmtId="0" fontId="2" fillId="9" borderId="0" xfId="0" applyFont="1" applyFill="1" applyAlignment="1">
      <alignment horizontal="center" vertical="center"/>
    </xf>
    <xf numFmtId="0" fontId="2" fillId="10" borderId="0" xfId="0" quotePrefix="1" applyFont="1" applyFill="1" applyAlignment="1">
      <alignment horizontal="center" vertical="center" wrapText="1"/>
    </xf>
    <xf numFmtId="0" fontId="7" fillId="7" borderId="0" xfId="0" applyFont="1" applyFill="1" applyAlignment="1">
      <alignment horizontal="center" vertical="center" wrapText="1"/>
    </xf>
    <xf numFmtId="0" fontId="2" fillId="9" borderId="0" xfId="0" applyFont="1" applyFill="1"/>
    <xf numFmtId="0" fontId="2" fillId="9" borderId="0" xfId="0" quotePrefix="1" applyFont="1" applyFill="1"/>
    <xf numFmtId="0" fontId="5" fillId="12" borderId="0" xfId="3" applyFont="1" applyFill="1" applyAlignment="1">
      <alignment vertical="center"/>
    </xf>
    <xf numFmtId="0" fontId="2" fillId="12" borderId="0" xfId="0" applyFont="1" applyFill="1" applyAlignment="1">
      <alignment vertical="center" wrapText="1"/>
    </xf>
    <xf numFmtId="0" fontId="2" fillId="12" borderId="0" xfId="0" applyFont="1" applyFill="1" applyAlignment="1">
      <alignment horizontal="center" vertical="center"/>
    </xf>
    <xf numFmtId="0" fontId="2" fillId="0" borderId="0" xfId="0" applyFont="1" applyAlignment="1">
      <alignment wrapText="1"/>
    </xf>
    <xf numFmtId="0" fontId="8" fillId="0" borderId="0" xfId="0" applyFont="1"/>
    <xf numFmtId="0" fontId="9" fillId="0" borderId="0" xfId="0" applyFont="1"/>
    <xf numFmtId="170" fontId="2" fillId="0" borderId="0" xfId="0" applyNumberFormat="1" applyFont="1"/>
    <xf numFmtId="0" fontId="2" fillId="5" borderId="0" xfId="0" applyFont="1" applyFill="1"/>
    <xf numFmtId="0" fontId="2" fillId="13" borderId="0" xfId="0" applyFont="1" applyFill="1"/>
    <xf numFmtId="0" fontId="10" fillId="0" borderId="0" xfId="0" applyFont="1"/>
    <xf numFmtId="0" fontId="10" fillId="0" borderId="0" xfId="0" quotePrefix="1" applyFont="1"/>
    <xf numFmtId="0" fontId="2" fillId="4" borderId="0" xfId="0" applyFont="1" applyFill="1"/>
    <xf numFmtId="0" fontId="2" fillId="14" borderId="0" xfId="0" applyFont="1" applyFill="1"/>
    <xf numFmtId="0" fontId="2" fillId="15" borderId="0" xfId="0" applyFont="1" applyFill="1"/>
    <xf numFmtId="0" fontId="2" fillId="16" borderId="0" xfId="0" applyFont="1" applyFill="1"/>
    <xf numFmtId="0" fontId="2" fillId="17" borderId="0" xfId="0" applyFont="1" applyFill="1"/>
    <xf numFmtId="0" fontId="4" fillId="0" borderId="0" xfId="0" applyFont="1"/>
    <xf numFmtId="0" fontId="4" fillId="0" borderId="0" xfId="0" quotePrefix="1" applyFont="1"/>
    <xf numFmtId="0" fontId="2" fillId="18" borderId="0" xfId="0" applyFont="1" applyFill="1"/>
    <xf numFmtId="0" fontId="0" fillId="0" borderId="4" xfId="0" applyBorder="1"/>
    <xf numFmtId="0" fontId="0" fillId="19" borderId="4" xfId="0" applyFill="1" applyBorder="1"/>
    <xf numFmtId="0" fontId="2" fillId="0" borderId="0" xfId="4"/>
    <xf numFmtId="171" fontId="2" fillId="0" borderId="0" xfId="4" quotePrefix="1" applyNumberFormat="1"/>
    <xf numFmtId="171" fontId="2" fillId="0" borderId="29" xfId="4" applyNumberFormat="1" applyBorder="1"/>
    <xf numFmtId="171" fontId="2" fillId="0" borderId="1" xfId="4" applyNumberFormat="1" applyBorder="1"/>
    <xf numFmtId="171" fontId="2" fillId="0" borderId="30" xfId="4" applyNumberFormat="1" applyBorder="1"/>
    <xf numFmtId="9" fontId="2" fillId="0" borderId="0" xfId="2" applyFont="1" applyAlignment="1">
      <alignment horizontal="center" vertical="center"/>
    </xf>
    <xf numFmtId="173" fontId="2" fillId="0" borderId="0" xfId="2" applyNumberFormat="1" applyFont="1" applyAlignment="1">
      <alignment horizontal="center" vertical="center"/>
    </xf>
    <xf numFmtId="0" fontId="7" fillId="0" borderId="37" xfId="0" applyFont="1" applyBorder="1" applyAlignment="1">
      <alignment horizontal="center" vertical="center" wrapText="1"/>
    </xf>
    <xf numFmtId="16" fontId="2" fillId="0" borderId="0" xfId="0" applyNumberFormat="1" applyFont="1"/>
    <xf numFmtId="9" fontId="2" fillId="0" borderId="0" xfId="2" quotePrefix="1" applyFont="1" applyAlignment="1">
      <alignment horizontal="center" vertical="center" wrapText="1"/>
    </xf>
    <xf numFmtId="9" fontId="2" fillId="0" borderId="0" xfId="2" applyFont="1"/>
    <xf numFmtId="173" fontId="2" fillId="12" borderId="0" xfId="2" applyNumberFormat="1" applyFont="1" applyFill="1" applyBorder="1" applyAlignment="1">
      <alignment horizontal="center" vertical="center"/>
    </xf>
    <xf numFmtId="173" fontId="2" fillId="0" borderId="0" xfId="2" applyNumberFormat="1" applyFont="1" applyFill="1" applyBorder="1" applyAlignment="1">
      <alignment horizontal="center" vertical="center"/>
    </xf>
    <xf numFmtId="0" fontId="2" fillId="0" borderId="39" xfId="0" applyFont="1" applyBorder="1"/>
    <xf numFmtId="0" fontId="2" fillId="0" borderId="40" xfId="0" applyFont="1" applyBorder="1"/>
    <xf numFmtId="0" fontId="2" fillId="0" borderId="41" xfId="0" applyFont="1" applyBorder="1"/>
    <xf numFmtId="0" fontId="2" fillId="0" borderId="42" xfId="0" applyFont="1" applyBorder="1" applyAlignment="1">
      <alignment horizontal="center" vertical="center" wrapText="1"/>
    </xf>
    <xf numFmtId="0" fontId="2" fillId="0" borderId="43" xfId="0" applyFont="1" applyBorder="1"/>
    <xf numFmtId="0" fontId="2" fillId="22" borderId="43" xfId="0" applyFont="1" applyFill="1" applyBorder="1" applyAlignment="1">
      <alignment horizontal="center" vertical="center"/>
    </xf>
    <xf numFmtId="0" fontId="2" fillId="0" borderId="44" xfId="0" applyFont="1" applyBorder="1" applyAlignment="1">
      <alignment horizontal="center" vertical="center" wrapText="1"/>
    </xf>
    <xf numFmtId="0" fontId="2" fillId="0" borderId="45" xfId="0" applyFont="1" applyBorder="1"/>
    <xf numFmtId="0" fontId="2" fillId="21" borderId="37" xfId="0" applyFont="1" applyFill="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37" xfId="0" applyFont="1" applyBorder="1" applyAlignment="1">
      <alignment horizontal="center" vertical="center"/>
    </xf>
    <xf numFmtId="0" fontId="2" fillId="0" borderId="42" xfId="0" applyFont="1" applyBorder="1"/>
    <xf numFmtId="0" fontId="2" fillId="0" borderId="44" xfId="0" applyFont="1" applyBorder="1"/>
    <xf numFmtId="0" fontId="2" fillId="0" borderId="37" xfId="0" applyFont="1" applyBorder="1"/>
    <xf numFmtId="0" fontId="2" fillId="0" borderId="40" xfId="0" applyFont="1" applyBorder="1" applyAlignment="1">
      <alignment horizontal="center" vertical="center" wrapText="1"/>
    </xf>
    <xf numFmtId="0" fontId="15" fillId="0" borderId="0" xfId="0" applyFont="1" applyAlignment="1">
      <alignment horizontal="center" vertical="center"/>
    </xf>
    <xf numFmtId="0" fontId="2" fillId="22" borderId="0" xfId="0" applyFont="1" applyFill="1"/>
    <xf numFmtId="0" fontId="2" fillId="0" borderId="0" xfId="0" applyFont="1" applyAlignment="1">
      <alignment vertical="center"/>
    </xf>
    <xf numFmtId="0" fontId="2" fillId="22" borderId="0" xfId="0" applyFont="1" applyFill="1" applyAlignment="1">
      <alignment horizontal="center" vertical="center"/>
    </xf>
    <xf numFmtId="0" fontId="15" fillId="0" borderId="0" xfId="0" applyFont="1" applyAlignment="1">
      <alignment horizontal="center" vertical="center" wrapText="1"/>
    </xf>
    <xf numFmtId="0" fontId="15" fillId="0" borderId="45" xfId="0" applyFont="1" applyBorder="1" applyAlignment="1">
      <alignment horizontal="center" vertical="center"/>
    </xf>
    <xf numFmtId="0" fontId="2" fillId="22" borderId="45" xfId="0" applyFont="1" applyFill="1" applyBorder="1" applyAlignment="1">
      <alignment horizontal="center" vertical="center"/>
    </xf>
    <xf numFmtId="0" fontId="16" fillId="0" borderId="23" xfId="0" applyFont="1" applyBorder="1" applyAlignment="1">
      <alignment vertical="center"/>
    </xf>
    <xf numFmtId="0" fontId="13" fillId="0" borderId="23" xfId="0" applyFont="1" applyBorder="1" applyAlignment="1">
      <alignment horizontal="right" vertical="center"/>
    </xf>
    <xf numFmtId="0" fontId="0" fillId="19" borderId="4" xfId="0" applyFill="1" applyBorder="1" applyAlignment="1">
      <alignment wrapText="1"/>
    </xf>
    <xf numFmtId="170" fontId="2" fillId="0" borderId="0" xfId="0" quotePrefix="1" applyNumberFormat="1" applyFont="1"/>
    <xf numFmtId="175" fontId="2" fillId="0" borderId="0" xfId="2" quotePrefix="1" applyNumberFormat="1" applyFont="1" applyAlignment="1">
      <alignment wrapText="1"/>
    </xf>
    <xf numFmtId="0" fontId="2" fillId="21" borderId="45" xfId="0" applyFont="1" applyFill="1" applyBorder="1"/>
    <xf numFmtId="0" fontId="2" fillId="0" borderId="1" xfId="0" applyFont="1" applyBorder="1" applyAlignment="1">
      <alignment horizontal="center"/>
    </xf>
    <xf numFmtId="2" fontId="2" fillId="0" borderId="0" xfId="0" applyNumberFormat="1" applyFont="1" applyAlignment="1">
      <alignment horizontal="center" vertical="center"/>
    </xf>
    <xf numFmtId="0" fontId="2" fillId="21" borderId="45" xfId="0" applyFont="1" applyFill="1" applyBorder="1" applyAlignment="1">
      <alignment horizontal="center" vertical="center"/>
    </xf>
    <xf numFmtId="0" fontId="15" fillId="0" borderId="39" xfId="0" applyFont="1" applyBorder="1" applyAlignment="1">
      <alignment horizontal="center" vertical="center"/>
    </xf>
    <xf numFmtId="170" fontId="2" fillId="0" borderId="0" xfId="0" applyNumberFormat="1" applyFont="1" applyAlignment="1">
      <alignment horizontal="center" vertical="center"/>
    </xf>
    <xf numFmtId="0" fontId="2" fillId="21" borderId="37" xfId="0" applyFont="1" applyFill="1" applyBorder="1"/>
    <xf numFmtId="0" fontId="18" fillId="4" borderId="1" xfId="3" applyFont="1" applyFill="1" applyBorder="1" applyAlignment="1">
      <alignment horizontal="center" vertical="center" wrapText="1"/>
    </xf>
    <xf numFmtId="10" fontId="2" fillId="0" borderId="0" xfId="2" applyNumberFormat="1" applyFont="1" applyFill="1" applyBorder="1" applyAlignment="1">
      <alignment horizontal="center" vertical="center"/>
    </xf>
    <xf numFmtId="14" fontId="0" fillId="0" borderId="4" xfId="0" applyNumberFormat="1" applyBorder="1"/>
    <xf numFmtId="0" fontId="19" fillId="0" borderId="0" xfId="0" applyFont="1" applyAlignment="1">
      <alignment horizontal="left" vertical="center" wrapText="1"/>
    </xf>
    <xf numFmtId="0" fontId="2" fillId="21" borderId="0" xfId="0" applyFont="1" applyFill="1"/>
    <xf numFmtId="0" fontId="7" fillId="21" borderId="0" xfId="0" applyFont="1" applyFill="1" applyAlignment="1">
      <alignment horizontal="center" vertical="center"/>
    </xf>
    <xf numFmtId="0" fontId="0" fillId="0" borderId="0" xfId="0" applyAlignment="1">
      <alignment wrapText="1"/>
    </xf>
    <xf numFmtId="0" fontId="22" fillId="25" borderId="4" xfId="0" applyFont="1" applyFill="1" applyBorder="1" applyAlignment="1">
      <alignment horizontal="center" vertical="center"/>
    </xf>
    <xf numFmtId="0" fontId="22" fillId="25" borderId="9" xfId="0" quotePrefix="1" applyFont="1" applyFill="1" applyBorder="1" applyAlignment="1">
      <alignment horizontal="center" vertical="center"/>
    </xf>
    <xf numFmtId="0" fontId="20" fillId="25" borderId="16" xfId="0" applyFont="1" applyFill="1" applyBorder="1" applyAlignment="1">
      <alignment horizontal="left" vertical="center" wrapText="1"/>
    </xf>
    <xf numFmtId="0" fontId="25" fillId="25" borderId="2" xfId="0" applyFont="1" applyFill="1" applyBorder="1" applyAlignment="1">
      <alignment horizontal="center" vertical="center"/>
    </xf>
    <xf numFmtId="0" fontId="24" fillId="25" borderId="2" xfId="0" applyFont="1" applyFill="1" applyBorder="1" applyAlignment="1">
      <alignment horizontal="center" vertical="center"/>
    </xf>
    <xf numFmtId="0" fontId="21" fillId="25" borderId="14" xfId="0" quotePrefix="1" applyFont="1" applyFill="1" applyBorder="1" applyAlignment="1">
      <alignment horizontal="center" vertical="center"/>
    </xf>
    <xf numFmtId="0" fontId="21" fillId="25" borderId="14" xfId="0" applyFont="1" applyFill="1" applyBorder="1" applyAlignment="1">
      <alignment horizontal="center" vertical="center"/>
    </xf>
    <xf numFmtId="0" fontId="21" fillId="25" borderId="22" xfId="0" quotePrefix="1" applyFont="1" applyFill="1" applyBorder="1" applyAlignment="1">
      <alignment horizontal="center" vertical="center"/>
    </xf>
    <xf numFmtId="0" fontId="22" fillId="26" borderId="4" xfId="0" applyFont="1" applyFill="1" applyBorder="1" applyAlignment="1">
      <alignment horizontal="center" vertical="center"/>
    </xf>
    <xf numFmtId="0" fontId="25" fillId="26" borderId="2" xfId="0" applyFont="1" applyFill="1" applyBorder="1" applyAlignment="1">
      <alignment horizontal="center" vertical="center"/>
    </xf>
    <xf numFmtId="0" fontId="24" fillId="26" borderId="2" xfId="0" applyFont="1" applyFill="1" applyBorder="1" applyAlignment="1">
      <alignment horizontal="center" vertical="center"/>
    </xf>
    <xf numFmtId="0" fontId="21" fillId="26" borderId="14" xfId="0" quotePrefix="1" applyFont="1" applyFill="1" applyBorder="1" applyAlignment="1">
      <alignment horizontal="center" vertical="center"/>
    </xf>
    <xf numFmtId="0" fontId="25" fillId="26" borderId="1" xfId="0" applyFont="1" applyFill="1" applyBorder="1" applyAlignment="1">
      <alignment horizontal="center" vertical="center"/>
    </xf>
    <xf numFmtId="0" fontId="24" fillId="26" borderId="1" xfId="0" applyFont="1" applyFill="1" applyBorder="1" applyAlignment="1">
      <alignment horizontal="center" vertical="center"/>
    </xf>
    <xf numFmtId="0" fontId="21" fillId="26" borderId="14" xfId="0" applyFont="1" applyFill="1" applyBorder="1" applyAlignment="1">
      <alignment horizontal="center" vertical="center"/>
    </xf>
    <xf numFmtId="0" fontId="21" fillId="26" borderId="22" xfId="0" quotePrefix="1" applyFont="1" applyFill="1" applyBorder="1" applyAlignment="1">
      <alignment horizontal="center" vertical="center"/>
    </xf>
    <xf numFmtId="0" fontId="25" fillId="26" borderId="33" xfId="0" applyFont="1" applyFill="1" applyBorder="1" applyAlignment="1">
      <alignment horizontal="center" vertical="center"/>
    </xf>
    <xf numFmtId="0" fontId="24" fillId="26" borderId="33" xfId="0" applyFont="1" applyFill="1" applyBorder="1" applyAlignment="1">
      <alignment horizontal="center" vertical="center"/>
    </xf>
    <xf numFmtId="0" fontId="21" fillId="26" borderId="45" xfId="0" applyFont="1" applyFill="1" applyBorder="1" applyAlignment="1">
      <alignment horizontal="left" vertical="center" wrapText="1"/>
    </xf>
    <xf numFmtId="0" fontId="21" fillId="26" borderId="16" xfId="0" applyFont="1" applyFill="1" applyBorder="1" applyAlignment="1">
      <alignment horizontal="left" vertical="center" wrapText="1"/>
    </xf>
    <xf numFmtId="0" fontId="21" fillId="26" borderId="53" xfId="0" applyFont="1" applyFill="1" applyBorder="1" applyAlignment="1">
      <alignment horizontal="left" vertical="center" wrapText="1"/>
    </xf>
    <xf numFmtId="0" fontId="22" fillId="27" borderId="4" xfId="0" applyFont="1" applyFill="1" applyBorder="1" applyAlignment="1">
      <alignment horizontal="center" vertical="center"/>
    </xf>
    <xf numFmtId="0" fontId="20" fillId="27" borderId="16" xfId="0" applyFont="1" applyFill="1" applyBorder="1" applyAlignment="1">
      <alignment horizontal="left" vertical="center" wrapText="1"/>
    </xf>
    <xf numFmtId="0" fontId="25" fillId="27" borderId="2" xfId="0" applyFont="1" applyFill="1" applyBorder="1" applyAlignment="1">
      <alignment horizontal="center" vertical="center"/>
    </xf>
    <xf numFmtId="0" fontId="24" fillId="27" borderId="2" xfId="0" applyFont="1" applyFill="1" applyBorder="1" applyAlignment="1">
      <alignment horizontal="center" vertical="center"/>
    </xf>
    <xf numFmtId="0" fontId="21" fillId="27" borderId="14" xfId="0" quotePrefix="1" applyFont="1" applyFill="1" applyBorder="1" applyAlignment="1">
      <alignment horizontal="center" vertical="center"/>
    </xf>
    <xf numFmtId="0" fontId="25" fillId="27" borderId="1" xfId="0" applyFont="1" applyFill="1" applyBorder="1" applyAlignment="1">
      <alignment horizontal="center" vertical="center"/>
    </xf>
    <xf numFmtId="0" fontId="24" fillId="27" borderId="1" xfId="0" applyFont="1" applyFill="1" applyBorder="1" applyAlignment="1">
      <alignment horizontal="center" vertical="center"/>
    </xf>
    <xf numFmtId="0" fontId="21" fillId="27" borderId="14" xfId="0" applyFont="1" applyFill="1" applyBorder="1" applyAlignment="1">
      <alignment horizontal="center" vertical="center"/>
    </xf>
    <xf numFmtId="0" fontId="21" fillId="27" borderId="22" xfId="0" quotePrefix="1" applyFont="1" applyFill="1" applyBorder="1" applyAlignment="1">
      <alignment horizontal="center" vertical="center"/>
    </xf>
    <xf numFmtId="0" fontId="23" fillId="27" borderId="9" xfId="0" quotePrefix="1" applyFont="1" applyFill="1" applyBorder="1" applyAlignment="1">
      <alignment horizontal="center" vertical="center"/>
    </xf>
    <xf numFmtId="0" fontId="23" fillId="26" borderId="9" xfId="0" quotePrefix="1" applyFont="1" applyFill="1" applyBorder="1" applyAlignment="1">
      <alignment horizontal="center" vertical="center"/>
    </xf>
    <xf numFmtId="0" fontId="7" fillId="0" borderId="1" xfId="0" applyFont="1" applyBorder="1" applyAlignment="1">
      <alignment horizontal="center" vertical="center" wrapText="1"/>
    </xf>
    <xf numFmtId="0" fontId="7" fillId="0" borderId="0" xfId="0" applyFont="1" applyAlignment="1">
      <alignment horizontal="center" vertical="center"/>
    </xf>
    <xf numFmtId="0" fontId="2" fillId="0" borderId="40" xfId="0" applyFont="1" applyBorder="1" applyAlignment="1">
      <alignment horizontal="center" wrapText="1"/>
    </xf>
    <xf numFmtId="10" fontId="2" fillId="0" borderId="42" xfId="2" applyNumberFormat="1" applyFont="1" applyBorder="1" applyAlignment="1">
      <alignment horizontal="center" vertical="center"/>
    </xf>
    <xf numFmtId="10" fontId="2" fillId="0" borderId="0" xfId="2" applyNumberFormat="1" applyFont="1" applyBorder="1" applyAlignment="1">
      <alignment horizontal="center" vertical="center"/>
    </xf>
    <xf numFmtId="177" fontId="2" fillId="0" borderId="0" xfId="2" applyNumberFormat="1" applyFont="1"/>
    <xf numFmtId="176" fontId="2" fillId="0" borderId="42" xfId="2" applyNumberFormat="1" applyFont="1" applyBorder="1" applyAlignment="1">
      <alignment horizontal="center" vertical="center"/>
    </xf>
    <xf numFmtId="173" fontId="2" fillId="0" borderId="0" xfId="2" applyNumberFormat="1" applyFont="1" applyBorder="1" applyAlignment="1">
      <alignment horizontal="center" vertical="center"/>
    </xf>
    <xf numFmtId="10" fontId="2" fillId="0" borderId="44" xfId="2" applyNumberFormat="1" applyFont="1" applyBorder="1" applyAlignment="1">
      <alignment horizontal="center" vertical="center"/>
    </xf>
    <xf numFmtId="10" fontId="2" fillId="0" borderId="45" xfId="2" applyNumberFormat="1" applyFont="1" applyBorder="1" applyAlignment="1">
      <alignment horizontal="center" vertical="center"/>
    </xf>
    <xf numFmtId="0" fontId="2" fillId="0" borderId="41" xfId="0" applyFont="1" applyBorder="1" applyAlignment="1">
      <alignment horizontal="center" wrapText="1"/>
    </xf>
    <xf numFmtId="0" fontId="7" fillId="0" borderId="39" xfId="0" applyFont="1" applyBorder="1" applyAlignment="1">
      <alignment horizontal="center" vertical="center" wrapText="1"/>
    </xf>
    <xf numFmtId="170" fontId="2" fillId="0" borderId="43" xfId="0" applyNumberFormat="1" applyFont="1" applyBorder="1" applyAlignment="1">
      <alignment horizontal="center" vertical="center"/>
    </xf>
    <xf numFmtId="0" fontId="2" fillId="0" borderId="45" xfId="0" applyFont="1" applyBorder="1" applyAlignment="1">
      <alignment horizontal="center"/>
    </xf>
    <xf numFmtId="0" fontId="13" fillId="11" borderId="36" xfId="7" applyFont="1" applyFill="1" applyBorder="1" applyAlignment="1">
      <alignment horizontal="center" vertical="center"/>
    </xf>
    <xf numFmtId="0" fontId="16" fillId="20" borderId="0" xfId="7" applyFont="1" applyFill="1"/>
    <xf numFmtId="174" fontId="13" fillId="28" borderId="46" xfId="7" applyNumberFormat="1" applyFont="1" applyFill="1" applyBorder="1" applyAlignment="1">
      <alignment horizontal="center" vertical="center"/>
    </xf>
    <xf numFmtId="174" fontId="13" fillId="28" borderId="47" xfId="7" applyNumberFormat="1" applyFont="1" applyFill="1" applyBorder="1" applyAlignment="1">
      <alignment horizontal="center" vertical="center"/>
    </xf>
    <xf numFmtId="0" fontId="13" fillId="28" borderId="48" xfId="7" applyFont="1" applyFill="1" applyBorder="1" applyAlignment="1">
      <alignment horizontal="center"/>
    </xf>
    <xf numFmtId="0" fontId="13" fillId="28" borderId="49" xfId="7" applyFont="1" applyFill="1" applyBorder="1" applyAlignment="1">
      <alignment horizontal="center"/>
    </xf>
    <xf numFmtId="0" fontId="16" fillId="20" borderId="3" xfId="0" applyFont="1" applyFill="1" applyBorder="1" applyAlignment="1">
      <alignment vertical="center" wrapText="1"/>
    </xf>
    <xf numFmtId="0" fontId="16" fillId="20" borderId="3" xfId="0" applyFont="1" applyFill="1" applyBorder="1" applyAlignment="1">
      <alignment vertical="center"/>
    </xf>
    <xf numFmtId="0" fontId="13" fillId="20" borderId="3" xfId="0" applyFont="1" applyFill="1" applyBorder="1" applyAlignment="1">
      <alignment horizontal="right" vertical="center"/>
    </xf>
    <xf numFmtId="0" fontId="13" fillId="20" borderId="24" xfId="0" applyFont="1" applyFill="1" applyBorder="1" applyAlignment="1">
      <alignment vertical="center"/>
    </xf>
    <xf numFmtId="0" fontId="13" fillId="20" borderId="3" xfId="0" applyFont="1" applyFill="1" applyBorder="1" applyAlignment="1">
      <alignment vertical="center"/>
    </xf>
    <xf numFmtId="0" fontId="13" fillId="20" borderId="3" xfId="0" applyFont="1" applyFill="1" applyBorder="1" applyAlignment="1">
      <alignment vertical="center" wrapText="1"/>
    </xf>
    <xf numFmtId="0" fontId="28" fillId="0" borderId="0" xfId="4" applyFont="1"/>
    <xf numFmtId="14" fontId="28" fillId="0" borderId="0" xfId="4" applyNumberFormat="1" applyFont="1"/>
    <xf numFmtId="0" fontId="29" fillId="27" borderId="4" xfId="4" applyFont="1" applyFill="1" applyBorder="1" applyAlignment="1">
      <alignment horizontal="center" vertical="center" wrapText="1"/>
    </xf>
    <xf numFmtId="0" fontId="29" fillId="29" borderId="4" xfId="4" applyFont="1" applyFill="1" applyBorder="1" applyAlignment="1">
      <alignment horizontal="center" vertical="center"/>
    </xf>
    <xf numFmtId="0" fontId="29" fillId="0" borderId="0" xfId="4" applyFont="1" applyAlignment="1">
      <alignment horizontal="center" vertical="center"/>
    </xf>
    <xf numFmtId="0" fontId="28" fillId="0" borderId="5" xfId="4" applyFont="1" applyBorder="1"/>
    <xf numFmtId="0" fontId="30" fillId="21" borderId="4" xfId="4" applyFont="1" applyFill="1" applyBorder="1"/>
    <xf numFmtId="171" fontId="29" fillId="27" borderId="6" xfId="5" applyNumberFormat="1" applyFont="1" applyFill="1" applyBorder="1"/>
    <xf numFmtId="171" fontId="29" fillId="27" borderId="7" xfId="5" applyNumberFormat="1" applyFont="1" applyFill="1" applyBorder="1"/>
    <xf numFmtId="171" fontId="29" fillId="27" borderId="8" xfId="5" applyNumberFormat="1" applyFont="1" applyFill="1" applyBorder="1"/>
    <xf numFmtId="0" fontId="30" fillId="23" borderId="9" xfId="4" applyFont="1" applyFill="1" applyBorder="1"/>
    <xf numFmtId="171" fontId="0" fillId="27" borderId="11" xfId="5" applyNumberFormat="1" applyFont="1" applyFill="1" applyBorder="1" applyAlignment="1"/>
    <xf numFmtId="171" fontId="0" fillId="27" borderId="12" xfId="5" applyNumberFormat="1" applyFont="1" applyFill="1" applyBorder="1" applyAlignment="1"/>
    <xf numFmtId="171" fontId="0" fillId="27" borderId="13" xfId="5" applyNumberFormat="1" applyFont="1" applyFill="1" applyBorder="1" applyAlignment="1"/>
    <xf numFmtId="0" fontId="30" fillId="23" borderId="14" xfId="4" applyFont="1" applyFill="1" applyBorder="1" applyAlignment="1">
      <alignment wrapText="1"/>
    </xf>
    <xf numFmtId="171" fontId="0" fillId="27" borderId="10" xfId="5" applyNumberFormat="1" applyFont="1" applyFill="1" applyBorder="1" applyAlignment="1">
      <alignment vertical="center"/>
    </xf>
    <xf numFmtId="171" fontId="0" fillId="27" borderId="8" xfId="5" applyNumberFormat="1" applyFont="1" applyFill="1" applyBorder="1" applyAlignment="1">
      <alignment vertical="center"/>
    </xf>
    <xf numFmtId="0" fontId="32" fillId="23" borderId="14" xfId="4" applyFont="1" applyFill="1" applyBorder="1"/>
    <xf numFmtId="171" fontId="0" fillId="31" borderId="10" xfId="5" applyNumberFormat="1" applyFont="1" applyFill="1" applyBorder="1" applyAlignment="1"/>
    <xf numFmtId="171" fontId="0" fillId="30" borderId="15" xfId="5" applyNumberFormat="1" applyFont="1" applyFill="1" applyBorder="1" applyAlignment="1"/>
    <xf numFmtId="171" fontId="0" fillId="27" borderId="10" xfId="5" applyNumberFormat="1" applyFont="1" applyFill="1" applyBorder="1"/>
    <xf numFmtId="171" fontId="0" fillId="27" borderId="8" xfId="5" applyNumberFormat="1" applyFont="1" applyFill="1" applyBorder="1"/>
    <xf numFmtId="0" fontId="32" fillId="23" borderId="14" xfId="4" applyFont="1" applyFill="1" applyBorder="1" applyAlignment="1">
      <alignment wrapText="1"/>
    </xf>
    <xf numFmtId="0" fontId="2" fillId="23" borderId="14" xfId="4" applyFill="1" applyBorder="1"/>
    <xf numFmtId="0" fontId="30" fillId="23" borderId="14" xfId="4" applyFont="1" applyFill="1" applyBorder="1"/>
    <xf numFmtId="171" fontId="0" fillId="27" borderId="16" xfId="5" applyNumberFormat="1" applyFont="1" applyFill="1" applyBorder="1" applyAlignment="1"/>
    <xf numFmtId="171" fontId="0" fillId="27" borderId="17" xfId="5" applyNumberFormat="1" applyFont="1" applyFill="1" applyBorder="1" applyAlignment="1"/>
    <xf numFmtId="171" fontId="0" fillId="27" borderId="18" xfId="5" applyNumberFormat="1" applyFont="1" applyFill="1" applyBorder="1" applyAlignment="1"/>
    <xf numFmtId="0" fontId="2" fillId="23" borderId="14" xfId="4" applyFill="1" applyBorder="1" applyAlignment="1">
      <alignment wrapText="1"/>
    </xf>
    <xf numFmtId="171" fontId="0" fillId="31" borderId="10" xfId="5" applyNumberFormat="1" applyFont="1" applyFill="1" applyBorder="1"/>
    <xf numFmtId="171" fontId="0" fillId="30" borderId="15" xfId="5" applyNumberFormat="1" applyFont="1" applyFill="1" applyBorder="1"/>
    <xf numFmtId="171" fontId="0" fillId="31" borderId="20" xfId="5" applyNumberFormat="1" applyFont="1" applyFill="1" applyBorder="1" applyAlignment="1"/>
    <xf numFmtId="171" fontId="0" fillId="30" borderId="21" xfId="5" applyNumberFormat="1" applyFont="1" applyFill="1" applyBorder="1" applyAlignment="1"/>
    <xf numFmtId="0" fontId="30" fillId="23" borderId="22" xfId="4" applyFont="1" applyFill="1" applyBorder="1"/>
    <xf numFmtId="171" fontId="0" fillId="27" borderId="5" xfId="5" applyNumberFormat="1" applyFont="1" applyFill="1" applyBorder="1" applyAlignment="1"/>
    <xf numFmtId="171" fontId="0" fillId="27" borderId="23" xfId="5" applyNumberFormat="1" applyFont="1" applyFill="1" applyBorder="1" applyAlignment="1"/>
    <xf numFmtId="171" fontId="0" fillId="27" borderId="24" xfId="5" applyNumberFormat="1" applyFont="1" applyFill="1" applyBorder="1" applyAlignment="1"/>
    <xf numFmtId="9" fontId="0" fillId="0" borderId="0" xfId="6" applyFont="1"/>
    <xf numFmtId="0" fontId="29" fillId="0" borderId="0" xfId="4" applyFont="1" applyAlignment="1">
      <alignment horizontal="center" vertical="center" wrapText="1"/>
    </xf>
    <xf numFmtId="0" fontId="2" fillId="24" borderId="25" xfId="4" applyFill="1" applyBorder="1"/>
    <xf numFmtId="167" fontId="11" fillId="0" borderId="26" xfId="1" applyFont="1" applyBorder="1"/>
    <xf numFmtId="167" fontId="11" fillId="0" borderId="27" xfId="1" applyFont="1" applyBorder="1"/>
    <xf numFmtId="167" fontId="11" fillId="0" borderId="28" xfId="1" applyFont="1" applyBorder="1"/>
    <xf numFmtId="0" fontId="2" fillId="24" borderId="14" xfId="4" applyFill="1" applyBorder="1" applyAlignment="1">
      <alignment vertical="center"/>
    </xf>
    <xf numFmtId="167" fontId="11" fillId="0" borderId="29" xfId="1" applyFont="1" applyBorder="1"/>
    <xf numFmtId="167" fontId="11" fillId="0" borderId="1" xfId="1" applyFont="1" applyBorder="1"/>
    <xf numFmtId="167" fontId="11" fillId="0" borderId="30" xfId="1" applyFont="1" applyBorder="1"/>
    <xf numFmtId="0" fontId="2" fillId="24" borderId="14" xfId="4" applyFill="1" applyBorder="1"/>
    <xf numFmtId="0" fontId="33" fillId="24" borderId="14" xfId="4" applyFont="1" applyFill="1" applyBorder="1" applyAlignment="1">
      <alignment horizontal="right" vertical="center"/>
    </xf>
    <xf numFmtId="0" fontId="30" fillId="23" borderId="31" xfId="4" applyFont="1" applyFill="1" applyBorder="1"/>
    <xf numFmtId="171" fontId="29" fillId="27" borderId="10" xfId="5" applyNumberFormat="1" applyFont="1" applyFill="1" applyBorder="1"/>
    <xf numFmtId="0" fontId="14" fillId="24" borderId="14" xfId="4" applyFont="1" applyFill="1" applyBorder="1"/>
    <xf numFmtId="0" fontId="2" fillId="24" borderId="14" xfId="4" applyFill="1" applyBorder="1" applyAlignment="1">
      <alignment horizontal="left" indent="1"/>
    </xf>
    <xf numFmtId="172" fontId="11" fillId="32" borderId="29" xfId="1" applyNumberFormat="1" applyFont="1" applyFill="1" applyBorder="1"/>
    <xf numFmtId="172" fontId="11" fillId="32" borderId="1" xfId="1" applyNumberFormat="1" applyFont="1" applyFill="1" applyBorder="1"/>
    <xf numFmtId="172" fontId="11" fillId="32" borderId="30" xfId="1" applyNumberFormat="1" applyFont="1" applyFill="1" applyBorder="1"/>
    <xf numFmtId="0" fontId="2" fillId="24" borderId="8" xfId="4" applyFill="1" applyBorder="1" applyAlignment="1">
      <alignment horizontal="left" indent="1"/>
    </xf>
    <xf numFmtId="172" fontId="11" fillId="0" borderId="1" xfId="1" applyNumberFormat="1" applyFont="1" applyBorder="1"/>
    <xf numFmtId="172" fontId="11" fillId="0" borderId="30" xfId="1" applyNumberFormat="1" applyFont="1" applyBorder="1"/>
    <xf numFmtId="0" fontId="33" fillId="24" borderId="14" xfId="4" applyFont="1" applyFill="1" applyBorder="1" applyAlignment="1">
      <alignment horizontal="right"/>
    </xf>
    <xf numFmtId="172" fontId="11" fillId="0" borderId="29" xfId="1" applyNumberFormat="1" applyFont="1" applyBorder="1"/>
    <xf numFmtId="0" fontId="14" fillId="24" borderId="22" xfId="4" applyFont="1" applyFill="1" applyBorder="1"/>
    <xf numFmtId="172" fontId="11" fillId="0" borderId="32" xfId="1" applyNumberFormat="1" applyFont="1" applyBorder="1"/>
    <xf numFmtId="172" fontId="11" fillId="0" borderId="33" xfId="1" applyNumberFormat="1" applyFont="1" applyBorder="1"/>
    <xf numFmtId="172" fontId="11" fillId="0" borderId="34" xfId="1" applyNumberFormat="1" applyFont="1" applyBorder="1"/>
    <xf numFmtId="0" fontId="29" fillId="23" borderId="22" xfId="4" applyFont="1" applyFill="1" applyBorder="1"/>
    <xf numFmtId="0" fontId="32" fillId="0" borderId="0" xfId="4" applyFont="1"/>
    <xf numFmtId="0" fontId="2" fillId="33" borderId="0" xfId="4" applyFill="1"/>
    <xf numFmtId="0" fontId="28" fillId="33" borderId="0" xfId="4" applyFont="1" applyFill="1"/>
    <xf numFmtId="0" fontId="13" fillId="20" borderId="24" xfId="0" applyFont="1" applyFill="1" applyBorder="1" applyAlignment="1">
      <alignment horizontal="right" vertical="center"/>
    </xf>
    <xf numFmtId="0" fontId="2" fillId="0" borderId="39" xfId="0" applyFont="1" applyBorder="1" applyAlignment="1">
      <alignment vertical="center"/>
    </xf>
    <xf numFmtId="0" fontId="2" fillId="0" borderId="40" xfId="0" applyFont="1" applyBorder="1" applyAlignment="1">
      <alignment vertical="center"/>
    </xf>
    <xf numFmtId="0" fontId="0" fillId="0" borderId="42" xfId="0" applyBorder="1"/>
    <xf numFmtId="0" fontId="0" fillId="0" borderId="44" xfId="0" applyBorder="1"/>
    <xf numFmtId="0" fontId="0" fillId="0" borderId="45" xfId="0" applyBorder="1"/>
    <xf numFmtId="0" fontId="34" fillId="0" borderId="1" xfId="0" applyFont="1" applyBorder="1" applyAlignment="1">
      <alignment vertical="center"/>
    </xf>
    <xf numFmtId="0" fontId="2" fillId="0" borderId="36" xfId="0" applyFont="1" applyBorder="1"/>
    <xf numFmtId="0" fontId="2" fillId="21" borderId="2" xfId="0" applyFont="1" applyFill="1" applyBorder="1" applyAlignment="1">
      <alignment horizontal="center" vertical="center"/>
    </xf>
    <xf numFmtId="0" fontId="20" fillId="27" borderId="16" xfId="0" applyFont="1" applyFill="1" applyBorder="1" applyAlignment="1">
      <alignment horizontal="justify" vertical="center" wrapText="1"/>
    </xf>
    <xf numFmtId="0" fontId="20" fillId="25" borderId="16" xfId="0" applyFont="1" applyFill="1" applyBorder="1" applyAlignment="1">
      <alignment horizontal="justify" vertical="center" wrapText="1"/>
    </xf>
    <xf numFmtId="0" fontId="0" fillId="19" borderId="4" xfId="0" applyFill="1" applyBorder="1" applyAlignment="1">
      <alignment horizontal="center" vertical="center"/>
    </xf>
    <xf numFmtId="167" fontId="0" fillId="0" borderId="4" xfId="1" applyFont="1" applyBorder="1" applyAlignment="1">
      <alignment horizontal="center" vertical="center"/>
    </xf>
    <xf numFmtId="0" fontId="15" fillId="0" borderId="38" xfId="0" applyFont="1" applyBorder="1" applyAlignment="1">
      <alignment horizontal="center" vertical="center"/>
    </xf>
    <xf numFmtId="0" fontId="34" fillId="21" borderId="35" xfId="0" applyFont="1" applyFill="1" applyBorder="1" applyAlignment="1">
      <alignment horizontal="center" vertical="center"/>
    </xf>
    <xf numFmtId="0" fontId="34" fillId="21" borderId="35" xfId="0" applyFont="1" applyFill="1" applyBorder="1" applyAlignment="1">
      <alignment horizontal="center" vertical="center" wrapText="1"/>
    </xf>
    <xf numFmtId="0" fontId="2" fillId="0" borderId="1" xfId="0" applyFont="1" applyBorder="1"/>
    <xf numFmtId="0" fontId="2" fillId="0" borderId="1" xfId="0" applyFont="1" applyBorder="1" applyAlignment="1">
      <alignment vertical="center"/>
    </xf>
    <xf numFmtId="0" fontId="2" fillId="21" borderId="1" xfId="0" applyFont="1" applyFill="1" applyBorder="1" applyAlignment="1">
      <alignment vertical="center"/>
    </xf>
    <xf numFmtId="0" fontId="2" fillId="21" borderId="1" xfId="0" applyFont="1" applyFill="1" applyBorder="1"/>
    <xf numFmtId="0" fontId="2" fillId="0" borderId="1" xfId="4" applyBorder="1"/>
    <xf numFmtId="0" fontId="35" fillId="21" borderId="1" xfId="4" applyFont="1" applyFill="1" applyBorder="1"/>
    <xf numFmtId="167" fontId="16" fillId="9" borderId="23" xfId="1" applyFont="1" applyFill="1" applyBorder="1" applyAlignment="1">
      <alignment horizontal="right" vertical="center"/>
    </xf>
    <xf numFmtId="167" fontId="13" fillId="9" borderId="4" xfId="1" applyFont="1" applyFill="1" applyBorder="1" applyAlignment="1">
      <alignment horizontal="right" vertical="center"/>
    </xf>
    <xf numFmtId="167" fontId="13" fillId="9" borderId="23" xfId="1" applyFont="1" applyFill="1" applyBorder="1" applyAlignment="1">
      <alignment horizontal="right" vertical="center"/>
    </xf>
    <xf numFmtId="167" fontId="13" fillId="9" borderId="3" xfId="1" applyFont="1" applyFill="1" applyBorder="1" applyAlignment="1">
      <alignment horizontal="right" vertical="center"/>
    </xf>
    <xf numFmtId="167" fontId="0" fillId="0" borderId="0" xfId="0" applyNumberFormat="1"/>
    <xf numFmtId="0" fontId="14" fillId="23" borderId="36" xfId="7" applyFont="1" applyFill="1" applyBorder="1" applyAlignment="1">
      <alignment horizontal="center" vertical="center"/>
    </xf>
    <xf numFmtId="0" fontId="1" fillId="24" borderId="0" xfId="7" applyFill="1"/>
    <xf numFmtId="174" fontId="14" fillId="35" borderId="46" xfId="7" applyNumberFormat="1" applyFont="1" applyFill="1" applyBorder="1" applyAlignment="1">
      <alignment horizontal="center" vertical="center"/>
    </xf>
    <xf numFmtId="174" fontId="14" fillId="35" borderId="47" xfId="7" applyNumberFormat="1" applyFont="1" applyFill="1" applyBorder="1" applyAlignment="1">
      <alignment horizontal="center" vertical="center"/>
    </xf>
    <xf numFmtId="0" fontId="14" fillId="35" borderId="48" xfId="7" applyFont="1" applyFill="1" applyBorder="1" applyAlignment="1">
      <alignment horizontal="center"/>
    </xf>
    <xf numFmtId="0" fontId="14" fillId="35" borderId="49" xfId="7" applyFont="1" applyFill="1" applyBorder="1" applyAlignment="1">
      <alignment horizontal="center"/>
    </xf>
    <xf numFmtId="0" fontId="16" fillId="36" borderId="3" xfId="0" applyFont="1" applyFill="1" applyBorder="1" applyAlignment="1">
      <alignment vertical="center" wrapText="1"/>
    </xf>
    <xf numFmtId="0" fontId="16" fillId="36" borderId="23" xfId="0" applyFont="1" applyFill="1" applyBorder="1" applyAlignment="1">
      <alignment vertical="center"/>
    </xf>
    <xf numFmtId="0" fontId="37" fillId="36" borderId="23" xfId="0" applyFont="1" applyFill="1" applyBorder="1" applyAlignment="1">
      <alignment vertical="center"/>
    </xf>
    <xf numFmtId="0" fontId="16" fillId="37" borderId="23" xfId="0" applyFont="1" applyFill="1" applyBorder="1" applyAlignment="1">
      <alignment horizontal="right" vertical="center"/>
    </xf>
    <xf numFmtId="0" fontId="16" fillId="36" borderId="23" xfId="0" applyFont="1" applyFill="1" applyBorder="1" applyAlignment="1">
      <alignment horizontal="right" vertical="center"/>
    </xf>
    <xf numFmtId="0" fontId="16" fillId="36" borderId="3" xfId="0" applyFont="1" applyFill="1" applyBorder="1" applyAlignment="1">
      <alignment vertical="center"/>
    </xf>
    <xf numFmtId="0" fontId="13" fillId="36" borderId="3" xfId="0" applyFont="1" applyFill="1" applyBorder="1" applyAlignment="1">
      <alignment horizontal="right" vertical="center"/>
    </xf>
    <xf numFmtId="0" fontId="13" fillId="37" borderId="4" xfId="0" applyFont="1" applyFill="1" applyBorder="1" applyAlignment="1">
      <alignment horizontal="right" vertical="center"/>
    </xf>
    <xf numFmtId="0" fontId="13" fillId="37" borderId="23" xfId="0" applyFont="1" applyFill="1" applyBorder="1" applyAlignment="1">
      <alignment horizontal="right" vertical="center"/>
    </xf>
    <xf numFmtId="0" fontId="13" fillId="36" borderId="24" xfId="0" applyFont="1" applyFill="1" applyBorder="1" applyAlignment="1">
      <alignment vertical="center"/>
    </xf>
    <xf numFmtId="0" fontId="13" fillId="37" borderId="3" xfId="0" applyFont="1" applyFill="1" applyBorder="1" applyAlignment="1">
      <alignment horizontal="right" vertical="center"/>
    </xf>
    <xf numFmtId="0" fontId="37" fillId="0" borderId="23" xfId="0" applyFont="1" applyBorder="1" applyAlignment="1">
      <alignment vertical="center"/>
    </xf>
    <xf numFmtId="0" fontId="13" fillId="36" borderId="3" xfId="0" applyFont="1" applyFill="1" applyBorder="1" applyAlignment="1">
      <alignment vertical="center"/>
    </xf>
    <xf numFmtId="0" fontId="13" fillId="36" borderId="3" xfId="0" applyFont="1" applyFill="1" applyBorder="1" applyAlignment="1">
      <alignment vertical="center" wrapText="1"/>
    </xf>
    <xf numFmtId="0" fontId="13" fillId="37" borderId="23" xfId="0" applyFont="1" applyFill="1" applyBorder="1" applyAlignment="1">
      <alignment vertical="center"/>
    </xf>
    <xf numFmtId="0" fontId="37" fillId="36" borderId="10" xfId="0" applyFont="1" applyFill="1" applyBorder="1" applyAlignment="1">
      <alignment vertical="center"/>
    </xf>
    <xf numFmtId="0" fontId="37" fillId="36" borderId="6" xfId="0" applyFont="1" applyFill="1" applyBorder="1" applyAlignment="1">
      <alignment vertical="center"/>
    </xf>
    <xf numFmtId="171" fontId="0" fillId="30" borderId="10" xfId="5" applyNumberFormat="1" applyFont="1" applyFill="1" applyBorder="1"/>
    <xf numFmtId="171" fontId="0" fillId="30" borderId="8" xfId="5" applyNumberFormat="1" applyFont="1" applyFill="1" applyBorder="1"/>
    <xf numFmtId="171" fontId="0" fillId="30" borderId="0" xfId="5" applyNumberFormat="1" applyFont="1" applyFill="1" applyBorder="1" applyAlignment="1"/>
    <xf numFmtId="171" fontId="0" fillId="30" borderId="0" xfId="5" applyNumberFormat="1" applyFont="1" applyFill="1" applyBorder="1"/>
    <xf numFmtId="171" fontId="0" fillId="30" borderId="19" xfId="5" applyNumberFormat="1" applyFont="1" applyFill="1" applyBorder="1" applyAlignment="1"/>
    <xf numFmtId="0" fontId="2" fillId="30" borderId="1" xfId="4" applyFill="1" applyBorder="1"/>
    <xf numFmtId="0" fontId="2" fillId="30" borderId="30" xfId="4" applyFill="1" applyBorder="1"/>
    <xf numFmtId="172" fontId="11" fillId="30" borderId="29" xfId="1" applyNumberFormat="1" applyFont="1" applyFill="1" applyBorder="1"/>
    <xf numFmtId="172" fontId="11" fillId="30" borderId="1" xfId="1" applyNumberFormat="1" applyFont="1" applyFill="1" applyBorder="1"/>
    <xf numFmtId="172" fontId="11" fillId="30" borderId="30" xfId="1" applyNumberFormat="1" applyFont="1" applyFill="1" applyBorder="1"/>
    <xf numFmtId="171" fontId="0" fillId="30" borderId="23" xfId="5" applyNumberFormat="1" applyFont="1" applyFill="1" applyBorder="1"/>
    <xf numFmtId="171" fontId="0" fillId="30" borderId="3" xfId="5" applyNumberFormat="1" applyFont="1" applyFill="1" applyBorder="1"/>
    <xf numFmtId="0" fontId="13" fillId="36" borderId="24" xfId="0" applyFont="1" applyFill="1" applyBorder="1" applyAlignment="1">
      <alignment horizontal="right" vertical="center"/>
    </xf>
    <xf numFmtId="0" fontId="39" fillId="27" borderId="16" xfId="0" applyFont="1" applyFill="1" applyBorder="1" applyAlignment="1">
      <alignment horizontal="justify" vertical="center" wrapText="1"/>
    </xf>
    <xf numFmtId="0" fontId="39" fillId="25" borderId="16" xfId="0" applyFont="1" applyFill="1" applyBorder="1" applyAlignment="1">
      <alignment horizontal="justify" vertical="center" wrapText="1"/>
    </xf>
    <xf numFmtId="0" fontId="39" fillId="25" borderId="16" xfId="0" applyFont="1" applyFill="1" applyBorder="1" applyAlignment="1">
      <alignment horizontal="left" vertical="center" wrapText="1"/>
    </xf>
    <xf numFmtId="0" fontId="40" fillId="26" borderId="16" xfId="0" applyFont="1" applyFill="1" applyBorder="1" applyAlignment="1">
      <alignment horizontal="left" vertical="center" wrapText="1"/>
    </xf>
    <xf numFmtId="0" fontId="40" fillId="26" borderId="53" xfId="0" applyFont="1" applyFill="1" applyBorder="1" applyAlignment="1">
      <alignment horizontal="left" vertical="center" wrapText="1"/>
    </xf>
    <xf numFmtId="0" fontId="23" fillId="26" borderId="25" xfId="0" quotePrefix="1" applyFont="1" applyFill="1" applyBorder="1" applyAlignment="1">
      <alignment horizontal="center" vertical="center"/>
    </xf>
    <xf numFmtId="0" fontId="40" fillId="26" borderId="11" xfId="0" applyFont="1" applyFill="1" applyBorder="1" applyAlignment="1">
      <alignment horizontal="left" vertical="center" wrapText="1"/>
    </xf>
    <xf numFmtId="0" fontId="25" fillId="26" borderId="27" xfId="0" applyFont="1" applyFill="1" applyBorder="1" applyAlignment="1">
      <alignment horizontal="center" vertical="center"/>
    </xf>
    <xf numFmtId="0" fontId="24" fillId="26" borderId="27" xfId="0" applyFont="1" applyFill="1" applyBorder="1" applyAlignment="1">
      <alignment horizontal="center" vertical="center"/>
    </xf>
    <xf numFmtId="0" fontId="2" fillId="38" borderId="1" xfId="0" applyFont="1" applyFill="1" applyBorder="1"/>
    <xf numFmtId="0" fontId="2" fillId="0" borderId="55" xfId="4" applyBorder="1" applyAlignment="1">
      <alignment vertical="center" wrapText="1"/>
    </xf>
    <xf numFmtId="0" fontId="2" fillId="0" borderId="55" xfId="0" applyFont="1" applyBorder="1" applyAlignment="1">
      <alignment vertical="center" wrapText="1"/>
    </xf>
    <xf numFmtId="0" fontId="42" fillId="21" borderId="0" xfId="0" applyFont="1" applyFill="1" applyAlignment="1">
      <alignment horizontal="justify" vertical="center" wrapText="1"/>
    </xf>
    <xf numFmtId="0" fontId="21" fillId="27" borderId="31" xfId="0" quotePrefix="1" applyFont="1" applyFill="1" applyBorder="1" applyAlignment="1">
      <alignment horizontal="center" vertical="center"/>
    </xf>
    <xf numFmtId="14" fontId="0" fillId="0" borderId="0" xfId="0" applyNumberFormat="1"/>
    <xf numFmtId="2" fontId="0" fillId="0" borderId="0" xfId="0" applyNumberFormat="1"/>
    <xf numFmtId="0" fontId="43" fillId="0" borderId="0" xfId="0" applyFont="1" applyAlignment="1">
      <alignment vertical="center"/>
    </xf>
    <xf numFmtId="0" fontId="0" fillId="0" borderId="0" xfId="0" applyAlignment="1">
      <alignment vertical="center"/>
    </xf>
    <xf numFmtId="0" fontId="44" fillId="0" borderId="0" xfId="0" applyFont="1" applyAlignment="1">
      <alignment vertical="center"/>
    </xf>
    <xf numFmtId="0" fontId="45" fillId="0" borderId="0" xfId="0" applyFont="1" applyAlignment="1">
      <alignment vertical="center"/>
    </xf>
    <xf numFmtId="0" fontId="43" fillId="0" borderId="0" xfId="0" applyFont="1" applyAlignment="1">
      <alignment horizontal="center" vertical="center"/>
    </xf>
    <xf numFmtId="0" fontId="46" fillId="0" borderId="0" xfId="0" applyFont="1" applyAlignment="1">
      <alignment vertical="center"/>
    </xf>
    <xf numFmtId="0" fontId="14" fillId="0" borderId="0" xfId="0" applyFont="1" applyAlignment="1">
      <alignment vertical="center"/>
    </xf>
    <xf numFmtId="0" fontId="43" fillId="0" borderId="0" xfId="0" applyFont="1" applyAlignment="1">
      <alignment vertical="center" wrapText="1"/>
    </xf>
    <xf numFmtId="0" fontId="0" fillId="0" borderId="0" xfId="0" applyAlignment="1">
      <alignment vertical="center" wrapText="1"/>
    </xf>
    <xf numFmtId="0" fontId="47" fillId="0" borderId="0" xfId="0" applyFont="1" applyAlignment="1">
      <alignment vertical="center"/>
    </xf>
    <xf numFmtId="178" fontId="0" fillId="0" borderId="0" xfId="0" applyNumberFormat="1" applyAlignment="1">
      <alignment vertical="center"/>
    </xf>
    <xf numFmtId="0" fontId="43" fillId="0" borderId="0" xfId="0" applyFont="1" applyAlignment="1">
      <alignment horizontal="left" vertical="center" wrapText="1"/>
    </xf>
    <xf numFmtId="0" fontId="0" fillId="0" borderId="0" xfId="0" applyAlignment="1">
      <alignment horizontal="left" vertical="center" wrapText="1"/>
    </xf>
    <xf numFmtId="0" fontId="46" fillId="24" borderId="1" xfId="0" applyFont="1" applyFill="1" applyBorder="1" applyAlignment="1">
      <alignment horizontal="center" vertical="center" wrapText="1"/>
    </xf>
    <xf numFmtId="0" fontId="43" fillId="0" borderId="1" xfId="0" applyFont="1" applyBorder="1" applyAlignment="1">
      <alignment vertical="center"/>
    </xf>
    <xf numFmtId="2" fontId="43" fillId="0" borderId="1" xfId="0" applyNumberFormat="1" applyFont="1" applyBorder="1" applyAlignment="1">
      <alignment vertical="center"/>
    </xf>
    <xf numFmtId="4" fontId="43" fillId="0" borderId="1" xfId="0" applyNumberFormat="1" applyFont="1" applyBorder="1" applyAlignment="1">
      <alignment horizontal="center" vertical="center" wrapText="1"/>
    </xf>
    <xf numFmtId="0" fontId="43" fillId="0" borderId="1" xfId="0" applyFont="1" applyBorder="1" applyAlignment="1">
      <alignment horizontal="center" vertical="center"/>
    </xf>
    <xf numFmtId="0" fontId="0" fillId="0" borderId="0" xfId="0" applyAlignment="1">
      <alignment horizontal="center" vertical="center"/>
    </xf>
    <xf numFmtId="0" fontId="46" fillId="0" borderId="1" xfId="0" applyFont="1" applyBorder="1" applyAlignment="1">
      <alignment horizontal="center" vertical="center"/>
    </xf>
    <xf numFmtId="178" fontId="14" fillId="40" borderId="1" xfId="0" applyNumberFormat="1" applyFont="1" applyFill="1" applyBorder="1" applyAlignment="1">
      <alignment horizontal="right" vertical="center"/>
    </xf>
    <xf numFmtId="9" fontId="14" fillId="40" borderId="1" xfId="0" applyNumberFormat="1" applyFont="1" applyFill="1" applyBorder="1" applyAlignment="1">
      <alignment horizontal="center" vertical="center"/>
    </xf>
    <xf numFmtId="0" fontId="46" fillId="0" borderId="1" xfId="0" applyFont="1" applyBorder="1" applyAlignment="1">
      <alignment horizontal="right" vertical="center"/>
    </xf>
    <xf numFmtId="2" fontId="46" fillId="0" borderId="1" xfId="0" applyNumberFormat="1" applyFont="1" applyBorder="1" applyAlignment="1">
      <alignment horizontal="right" vertical="center"/>
    </xf>
    <xf numFmtId="0" fontId="46" fillId="0" borderId="1" xfId="0" applyFont="1" applyBorder="1" applyAlignment="1">
      <alignment vertical="center"/>
    </xf>
    <xf numFmtId="168" fontId="48" fillId="41" borderId="14" xfId="8" applyFont="1" applyFill="1" applyBorder="1" applyAlignment="1" applyProtection="1">
      <alignment horizontal="center" vertical="center"/>
    </xf>
    <xf numFmtId="10" fontId="14" fillId="41" borderId="1" xfId="0" applyNumberFormat="1" applyFont="1" applyFill="1" applyBorder="1" applyAlignment="1">
      <alignment horizontal="center" vertical="center"/>
    </xf>
    <xf numFmtId="4" fontId="0" fillId="0" borderId="0" xfId="0" applyNumberFormat="1" applyAlignment="1">
      <alignment vertical="center"/>
    </xf>
    <xf numFmtId="10" fontId="14" fillId="39" borderId="1" xfId="0" applyNumberFormat="1" applyFont="1" applyFill="1" applyBorder="1" applyAlignment="1">
      <alignment horizontal="center" vertical="center"/>
    </xf>
    <xf numFmtId="0" fontId="46" fillId="0" borderId="45" xfId="0" applyFont="1" applyBorder="1" applyAlignment="1">
      <alignment vertical="center"/>
    </xf>
    <xf numFmtId="0" fontId="0" fillId="0" borderId="45" xfId="0" applyBorder="1" applyAlignment="1">
      <alignment vertical="center"/>
    </xf>
    <xf numFmtId="178" fontId="14" fillId="0" borderId="25" xfId="0" applyNumberFormat="1" applyFont="1" applyBorder="1" applyAlignment="1">
      <alignment vertical="center"/>
    </xf>
    <xf numFmtId="0" fontId="14" fillId="24" borderId="1" xfId="0" applyFont="1" applyFill="1" applyBorder="1" applyAlignment="1">
      <alignment horizontal="center" vertical="center" wrapText="1"/>
    </xf>
    <xf numFmtId="0" fontId="14" fillId="24" borderId="1" xfId="0" applyFont="1" applyFill="1" applyBorder="1" applyAlignment="1">
      <alignment horizontal="center" vertical="center"/>
    </xf>
    <xf numFmtId="0" fontId="14" fillId="40" borderId="1" xfId="0" applyFont="1" applyFill="1" applyBorder="1" applyAlignment="1">
      <alignment horizontal="center" vertical="center"/>
    </xf>
    <xf numFmtId="0" fontId="14" fillId="41" borderId="1" xfId="0" applyFont="1" applyFill="1" applyBorder="1" applyAlignment="1">
      <alignment horizontal="center" vertical="center" wrapText="1"/>
    </xf>
    <xf numFmtId="0" fontId="0" fillId="39" borderId="1" xfId="0" applyFill="1" applyBorder="1" applyAlignment="1">
      <alignment horizontal="center" vertical="center" wrapText="1"/>
    </xf>
    <xf numFmtId="0" fontId="0" fillId="39" borderId="35" xfId="0" applyFill="1" applyBorder="1" applyAlignment="1">
      <alignment vertical="center" wrapText="1"/>
    </xf>
    <xf numFmtId="0" fontId="36" fillId="42" borderId="4" xfId="0" applyFont="1" applyFill="1" applyBorder="1" applyAlignment="1">
      <alignment horizontal="center" vertical="center"/>
    </xf>
    <xf numFmtId="168" fontId="0" fillId="0" borderId="0" xfId="8" applyFont="1" applyAlignment="1" applyProtection="1">
      <alignment horizontal="left" vertical="center"/>
    </xf>
    <xf numFmtId="0" fontId="14" fillId="0" borderId="18" xfId="0" applyFont="1" applyBorder="1" applyAlignment="1">
      <alignment horizontal="left" vertical="center"/>
    </xf>
    <xf numFmtId="0" fontId="4" fillId="0" borderId="18" xfId="0" applyFont="1" applyBorder="1" applyAlignment="1">
      <alignment horizontal="left" vertical="center"/>
    </xf>
    <xf numFmtId="0" fontId="14" fillId="39" borderId="56" xfId="0" applyFont="1" applyFill="1" applyBorder="1" applyAlignment="1">
      <alignment horizontal="left" vertical="center"/>
    </xf>
    <xf numFmtId="0" fontId="48" fillId="41" borderId="18" xfId="0" applyFont="1" applyFill="1" applyBorder="1" applyAlignment="1">
      <alignment horizontal="left" vertical="center"/>
    </xf>
    <xf numFmtId="179" fontId="50" fillId="0" borderId="0" xfId="0" applyNumberFormat="1" applyFont="1" applyAlignment="1">
      <alignment vertical="center"/>
    </xf>
    <xf numFmtId="0" fontId="51" fillId="0" borderId="0" xfId="0" applyFont="1" applyAlignment="1">
      <alignment vertical="center"/>
    </xf>
    <xf numFmtId="178" fontId="53" fillId="41" borderId="35" xfId="0" applyNumberFormat="1" applyFont="1" applyFill="1" applyBorder="1" applyAlignment="1">
      <alignment horizontal="center" vertical="center"/>
    </xf>
    <xf numFmtId="10" fontId="51" fillId="0" borderId="0" xfId="2" applyNumberFormat="1" applyFont="1" applyFill="1" applyBorder="1" applyAlignment="1" applyProtection="1">
      <alignment vertical="center"/>
    </xf>
    <xf numFmtId="0" fontId="51" fillId="0" borderId="0" xfId="0" applyFont="1" applyAlignment="1">
      <alignment horizontal="center" vertical="center"/>
    </xf>
    <xf numFmtId="0" fontId="54" fillId="24" borderId="0" xfId="0" applyFont="1" applyFill="1" applyAlignment="1">
      <alignment horizontal="left" vertical="center"/>
    </xf>
    <xf numFmtId="0" fontId="55" fillId="24" borderId="0" xfId="0" applyFont="1" applyFill="1" applyAlignment="1">
      <alignment vertical="center"/>
    </xf>
    <xf numFmtId="179" fontId="53" fillId="0" borderId="0" xfId="0" applyNumberFormat="1" applyFont="1" applyAlignment="1">
      <alignment horizontal="center" vertical="center"/>
    </xf>
    <xf numFmtId="179" fontId="51" fillId="0" borderId="0" xfId="0" applyNumberFormat="1" applyFont="1" applyAlignment="1">
      <alignment vertical="center"/>
    </xf>
    <xf numFmtId="179" fontId="55" fillId="24" borderId="0" xfId="0" applyNumberFormat="1" applyFont="1" applyFill="1" applyAlignment="1">
      <alignment vertical="center"/>
    </xf>
    <xf numFmtId="179" fontId="51" fillId="21" borderId="36" xfId="0" applyNumberFormat="1" applyFont="1" applyFill="1" applyBorder="1" applyAlignment="1">
      <alignment vertical="center"/>
    </xf>
    <xf numFmtId="179" fontId="57" fillId="0" borderId="1" xfId="0" applyNumberFormat="1" applyFont="1" applyBorder="1" applyAlignment="1">
      <alignment horizontal="left" vertical="center"/>
    </xf>
    <xf numFmtId="179" fontId="51" fillId="43" borderId="0" xfId="0" applyNumberFormat="1" applyFont="1" applyFill="1" applyAlignment="1">
      <alignment vertical="center"/>
    </xf>
    <xf numFmtId="10" fontId="58" fillId="21" borderId="7" xfId="0" applyNumberFormat="1" applyFont="1" applyFill="1" applyBorder="1" applyAlignment="1" applyProtection="1">
      <alignment horizontal="center" vertical="center"/>
      <protection locked="0"/>
    </xf>
    <xf numFmtId="166" fontId="51" fillId="32" borderId="6" xfId="0" applyNumberFormat="1" applyFont="1" applyFill="1" applyBorder="1" applyAlignment="1">
      <alignment vertical="center"/>
    </xf>
    <xf numFmtId="166" fontId="53" fillId="44" borderId="35" xfId="9" applyFont="1" applyFill="1" applyBorder="1" applyAlignment="1" applyProtection="1">
      <alignment vertical="center"/>
    </xf>
    <xf numFmtId="9" fontId="55" fillId="24" borderId="0" xfId="0" applyNumberFormat="1" applyFont="1" applyFill="1" applyAlignment="1">
      <alignment vertical="center"/>
    </xf>
    <xf numFmtId="9" fontId="55" fillId="24" borderId="0" xfId="2" applyFont="1" applyFill="1" applyBorder="1" applyAlignment="1" applyProtection="1">
      <alignment vertical="center"/>
    </xf>
    <xf numFmtId="179" fontId="51" fillId="0" borderId="36" xfId="0" applyNumberFormat="1" applyFont="1" applyBorder="1" applyAlignment="1">
      <alignment vertical="center"/>
    </xf>
    <xf numFmtId="10" fontId="59" fillId="45" borderId="8" xfId="0" applyNumberFormat="1" applyFont="1" applyFill="1" applyBorder="1" applyAlignment="1">
      <alignment horizontal="center" vertical="center"/>
    </xf>
    <xf numFmtId="166" fontId="51" fillId="32" borderId="10" xfId="0" applyNumberFormat="1" applyFont="1" applyFill="1" applyBorder="1" applyAlignment="1">
      <alignment vertical="center" wrapText="1"/>
    </xf>
    <xf numFmtId="166" fontId="53" fillId="32" borderId="35" xfId="9" applyFont="1" applyFill="1" applyBorder="1" applyAlignment="1" applyProtection="1">
      <alignment vertical="center"/>
    </xf>
    <xf numFmtId="179" fontId="51" fillId="0" borderId="52" xfId="0" applyNumberFormat="1" applyFont="1" applyBorder="1" applyAlignment="1">
      <alignment vertical="center"/>
    </xf>
    <xf numFmtId="10" fontId="58" fillId="21" borderId="8" xfId="0" applyNumberFormat="1" applyFont="1" applyFill="1" applyBorder="1" applyAlignment="1">
      <alignment horizontal="center" vertical="center"/>
    </xf>
    <xf numFmtId="166" fontId="51" fillId="21" borderId="10" xfId="0" applyNumberFormat="1" applyFont="1" applyFill="1" applyBorder="1" applyAlignment="1">
      <alignment vertical="center" wrapText="1"/>
    </xf>
    <xf numFmtId="166" fontId="53" fillId="21" borderId="35" xfId="9" applyFont="1" applyFill="1" applyBorder="1" applyAlignment="1" applyProtection="1">
      <alignment vertical="center"/>
    </xf>
    <xf numFmtId="166" fontId="51" fillId="0" borderId="0" xfId="0" applyNumberFormat="1" applyFont="1" applyAlignment="1">
      <alignment vertical="center"/>
    </xf>
    <xf numFmtId="10" fontId="51" fillId="45" borderId="8" xfId="2" applyNumberFormat="1" applyFont="1" applyFill="1" applyBorder="1" applyAlignment="1" applyProtection="1">
      <alignment horizontal="center" vertical="center"/>
    </xf>
    <xf numFmtId="166" fontId="53" fillId="44" borderId="57" xfId="0" applyNumberFormat="1" applyFont="1" applyFill="1" applyBorder="1" applyAlignment="1">
      <alignment vertical="center"/>
    </xf>
    <xf numFmtId="180" fontId="51" fillId="45" borderId="8" xfId="0" applyNumberFormat="1" applyFont="1" applyFill="1" applyBorder="1" applyAlignment="1">
      <alignment horizontal="center" vertical="center"/>
    </xf>
    <xf numFmtId="179" fontId="51" fillId="0" borderId="52" xfId="0" quotePrefix="1" applyNumberFormat="1" applyFont="1" applyBorder="1" applyAlignment="1">
      <alignment vertical="center"/>
    </xf>
    <xf numFmtId="181" fontId="51" fillId="45" borderId="8" xfId="0" applyNumberFormat="1" applyFont="1" applyFill="1" applyBorder="1" applyAlignment="1">
      <alignment horizontal="center" vertical="center"/>
    </xf>
    <xf numFmtId="182" fontId="51" fillId="0" borderId="0" xfId="0" applyNumberFormat="1" applyFont="1" applyAlignment="1">
      <alignment vertical="center"/>
    </xf>
    <xf numFmtId="179" fontId="53" fillId="0" borderId="0" xfId="0" applyNumberFormat="1" applyFont="1" applyAlignment="1">
      <alignment horizontal="left" vertical="center"/>
    </xf>
    <xf numFmtId="0" fontId="51" fillId="0" borderId="58" xfId="0" applyFont="1" applyBorder="1" applyAlignment="1">
      <alignment vertical="center"/>
    </xf>
    <xf numFmtId="0" fontId="58" fillId="21" borderId="59" xfId="0" applyFont="1" applyFill="1" applyBorder="1" applyAlignment="1">
      <alignment horizontal="center" vertical="center"/>
    </xf>
    <xf numFmtId="4" fontId="58" fillId="21" borderId="60" xfId="0" applyNumberFormat="1" applyFont="1" applyFill="1" applyBorder="1" applyAlignment="1">
      <alignment vertical="center"/>
    </xf>
    <xf numFmtId="182" fontId="55" fillId="24" borderId="0" xfId="0" applyNumberFormat="1" applyFont="1" applyFill="1" applyAlignment="1">
      <alignment vertical="center"/>
    </xf>
    <xf numFmtId="179" fontId="59" fillId="0" borderId="0" xfId="0" applyNumberFormat="1" applyFont="1" applyAlignment="1">
      <alignment vertical="center"/>
    </xf>
    <xf numFmtId="0" fontId="60" fillId="24" borderId="0" xfId="0" applyFont="1" applyFill="1" applyAlignment="1">
      <alignment horizontal="center" vertical="center"/>
    </xf>
    <xf numFmtId="182" fontId="61" fillId="0" borderId="0" xfId="0" applyNumberFormat="1" applyFont="1" applyAlignment="1">
      <alignment vertical="center"/>
    </xf>
    <xf numFmtId="179" fontId="53" fillId="0" borderId="63" xfId="0" applyNumberFormat="1" applyFont="1" applyBorder="1" applyAlignment="1">
      <alignment horizontal="center" vertical="center"/>
    </xf>
    <xf numFmtId="10" fontId="51" fillId="0" borderId="44" xfId="2" applyNumberFormat="1" applyFont="1" applyFill="1" applyBorder="1" applyAlignment="1" applyProtection="1">
      <alignment horizontal="center" vertical="center"/>
    </xf>
    <xf numFmtId="3" fontId="51" fillId="0" borderId="30" xfId="0" applyNumberFormat="1" applyFont="1" applyBorder="1" applyAlignment="1">
      <alignment horizontal="center" vertical="center"/>
    </xf>
    <xf numFmtId="49" fontId="60" fillId="24" borderId="0" xfId="0" applyNumberFormat="1" applyFont="1" applyFill="1" applyAlignment="1">
      <alignment horizontal="center" vertical="center"/>
    </xf>
    <xf numFmtId="3" fontId="4" fillId="0" borderId="0" xfId="0" applyNumberFormat="1" applyFont="1"/>
    <xf numFmtId="179" fontId="53" fillId="0" borderId="29" xfId="0" applyNumberFormat="1" applyFont="1" applyBorder="1" applyAlignment="1">
      <alignment horizontal="center" vertical="center"/>
    </xf>
    <xf numFmtId="10" fontId="51" fillId="0" borderId="38" xfId="2" applyNumberFormat="1" applyFont="1" applyFill="1" applyBorder="1" applyAlignment="1" applyProtection="1">
      <alignment horizontal="center" vertical="center"/>
    </xf>
    <xf numFmtId="179" fontId="61" fillId="0" borderId="0" xfId="0" applyNumberFormat="1" applyFont="1" applyAlignment="1">
      <alignment vertical="center"/>
    </xf>
    <xf numFmtId="179" fontId="53" fillId="0" borderId="24" xfId="0" applyNumberFormat="1" applyFont="1" applyBorder="1" applyAlignment="1">
      <alignment horizontal="left" vertical="center"/>
    </xf>
    <xf numFmtId="10" fontId="53" fillId="0" borderId="64" xfId="2" applyNumberFormat="1" applyFont="1" applyFill="1" applyBorder="1" applyAlignment="1" applyProtection="1">
      <alignment horizontal="center" vertical="center"/>
    </xf>
    <xf numFmtId="3" fontId="53" fillId="0" borderId="34" xfId="0" applyNumberFormat="1" applyFont="1" applyBorder="1" applyAlignment="1">
      <alignment horizontal="center" vertical="center"/>
    </xf>
    <xf numFmtId="182" fontId="59" fillId="0" borderId="0" xfId="0" applyNumberFormat="1" applyFont="1" applyAlignment="1">
      <alignment vertical="center"/>
    </xf>
    <xf numFmtId="182" fontId="59" fillId="0" borderId="0" xfId="0" applyNumberFormat="1" applyFont="1" applyAlignment="1">
      <alignment horizontal="center" vertical="center"/>
    </xf>
    <xf numFmtId="168" fontId="51" fillId="0" borderId="0" xfId="8" applyFont="1" applyAlignment="1" applyProtection="1">
      <alignment vertical="center"/>
    </xf>
    <xf numFmtId="10" fontId="58" fillId="21" borderId="4" xfId="2" applyNumberFormat="1" applyFont="1" applyFill="1" applyBorder="1" applyAlignment="1" applyProtection="1">
      <alignment horizontal="right" vertical="center"/>
      <protection locked="0"/>
    </xf>
    <xf numFmtId="168" fontId="59" fillId="0" borderId="0" xfId="8" applyFont="1" applyFill="1" applyAlignment="1" applyProtection="1">
      <alignment vertical="center"/>
    </xf>
    <xf numFmtId="10" fontId="59" fillId="0" borderId="0" xfId="0" applyNumberFormat="1" applyFont="1" applyAlignment="1">
      <alignment vertical="center"/>
    </xf>
    <xf numFmtId="10" fontId="53" fillId="0" borderId="0" xfId="2" applyNumberFormat="1" applyFont="1" applyFill="1" applyBorder="1" applyAlignment="1" applyProtection="1">
      <alignment horizontal="right" vertical="center"/>
    </xf>
    <xf numFmtId="168" fontId="59" fillId="0" borderId="0" xfId="8" applyFont="1" applyAlignment="1" applyProtection="1">
      <alignment vertical="center"/>
    </xf>
    <xf numFmtId="179" fontId="62" fillId="0" borderId="0" xfId="10" applyNumberFormat="1" applyFill="1" applyBorder="1" applyAlignment="1" applyProtection="1">
      <alignment vertical="center"/>
    </xf>
    <xf numFmtId="179" fontId="59" fillId="0" borderId="0" xfId="0" quotePrefix="1" applyNumberFormat="1" applyFont="1" applyAlignment="1">
      <alignment vertical="center"/>
    </xf>
    <xf numFmtId="10" fontId="51" fillId="45" borderId="8" xfId="0" applyNumberFormat="1" applyFont="1" applyFill="1" applyBorder="1" applyAlignment="1">
      <alignment horizontal="center" vertical="center"/>
    </xf>
    <xf numFmtId="179" fontId="59" fillId="24" borderId="0" xfId="0" applyNumberFormat="1" applyFont="1" applyFill="1" applyAlignment="1">
      <alignment vertical="center"/>
    </xf>
    <xf numFmtId="179" fontId="57" fillId="0" borderId="1" xfId="0" applyNumberFormat="1" applyFont="1" applyBorder="1" applyAlignment="1">
      <alignment horizontal="left" vertical="center" wrapText="1"/>
    </xf>
    <xf numFmtId="179" fontId="51" fillId="0" borderId="2" xfId="0" applyNumberFormat="1" applyFont="1" applyBorder="1" applyAlignment="1">
      <alignment vertical="center"/>
    </xf>
    <xf numFmtId="181" fontId="51" fillId="45" borderId="3" xfId="0" applyNumberFormat="1" applyFont="1" applyFill="1" applyBorder="1" applyAlignment="1">
      <alignment horizontal="center" vertical="center"/>
    </xf>
    <xf numFmtId="0" fontId="51" fillId="0" borderId="33" xfId="0" applyFont="1" applyBorder="1" applyAlignment="1">
      <alignment vertical="center"/>
    </xf>
    <xf numFmtId="0" fontId="53" fillId="0" borderId="33" xfId="0" applyFont="1" applyBorder="1" applyAlignment="1">
      <alignment horizontal="center" vertical="center"/>
    </xf>
    <xf numFmtId="0" fontId="53" fillId="0" borderId="0" xfId="0" applyFont="1" applyAlignment="1">
      <alignment horizontal="center" vertical="center"/>
    </xf>
    <xf numFmtId="179" fontId="53" fillId="0" borderId="26" xfId="0" applyNumberFormat="1" applyFont="1" applyBorder="1" applyAlignment="1">
      <alignment horizontal="center" vertical="center"/>
    </xf>
    <xf numFmtId="179" fontId="57" fillId="0" borderId="27" xfId="0" applyNumberFormat="1" applyFont="1" applyBorder="1" applyAlignment="1">
      <alignment horizontal="left" vertical="center"/>
    </xf>
    <xf numFmtId="4" fontId="58" fillId="43" borderId="0" xfId="0" applyNumberFormat="1" applyFont="1" applyFill="1" applyAlignment="1" applyProtection="1">
      <alignment horizontal="center" vertical="center"/>
      <protection locked="0"/>
    </xf>
    <xf numFmtId="3" fontId="59" fillId="45" borderId="65" xfId="0" applyNumberFormat="1" applyFont="1" applyFill="1" applyBorder="1" applyAlignment="1">
      <alignment vertical="center"/>
    </xf>
    <xf numFmtId="3" fontId="59" fillId="45" borderId="65" xfId="0" applyNumberFormat="1" applyFont="1" applyFill="1" applyBorder="1" applyAlignment="1">
      <alignment horizontal="center" vertical="center"/>
    </xf>
    <xf numFmtId="4" fontId="58" fillId="43" borderId="28" xfId="9" applyNumberFormat="1" applyFont="1" applyFill="1" applyBorder="1" applyAlignment="1" applyProtection="1">
      <alignment vertical="center"/>
    </xf>
    <xf numFmtId="179" fontId="63" fillId="0" borderId="0" xfId="0" applyNumberFormat="1" applyFont="1" applyAlignment="1">
      <alignment vertical="center"/>
    </xf>
    <xf numFmtId="3" fontId="59" fillId="45" borderId="0" xfId="0" applyNumberFormat="1" applyFont="1" applyFill="1" applyAlignment="1">
      <alignment vertical="center"/>
    </xf>
    <xf numFmtId="3" fontId="59" fillId="45" borderId="0" xfId="0" applyNumberFormat="1" applyFont="1" applyFill="1" applyAlignment="1">
      <alignment horizontal="center" vertical="center"/>
    </xf>
    <xf numFmtId="3" fontId="53" fillId="0" borderId="28" xfId="9" applyNumberFormat="1" applyFont="1" applyFill="1" applyBorder="1" applyAlignment="1" applyProtection="1">
      <alignment vertical="center"/>
    </xf>
    <xf numFmtId="173" fontId="63" fillId="0" borderId="0" xfId="2" applyNumberFormat="1" applyFont="1" applyAlignment="1" applyProtection="1">
      <alignment vertical="center"/>
    </xf>
    <xf numFmtId="3" fontId="51" fillId="0" borderId="0" xfId="0" applyNumberFormat="1" applyFont="1" applyAlignment="1">
      <alignment vertical="center"/>
    </xf>
    <xf numFmtId="179" fontId="53" fillId="0" borderId="32" xfId="0" applyNumberFormat="1" applyFont="1" applyBorder="1" applyAlignment="1">
      <alignment horizontal="center" vertical="center"/>
    </xf>
    <xf numFmtId="179" fontId="51" fillId="0" borderId="5" xfId="0" applyNumberFormat="1" applyFont="1" applyBorder="1" applyAlignment="1">
      <alignment vertical="center"/>
    </xf>
    <xf numFmtId="3" fontId="51" fillId="0" borderId="5" xfId="0" applyNumberFormat="1" applyFont="1" applyBorder="1" applyAlignment="1">
      <alignment vertical="center"/>
    </xf>
    <xf numFmtId="3" fontId="51" fillId="0" borderId="5" xfId="0" applyNumberFormat="1" applyFont="1" applyBorder="1" applyAlignment="1">
      <alignment horizontal="center" vertical="center"/>
    </xf>
    <xf numFmtId="3" fontId="53" fillId="0" borderId="34" xfId="0" applyNumberFormat="1" applyFont="1" applyBorder="1" applyAlignment="1">
      <alignment vertical="center"/>
    </xf>
    <xf numFmtId="0" fontId="53" fillId="0" borderId="66" xfId="0" applyFont="1" applyBorder="1" applyAlignment="1">
      <alignment horizontal="center" vertical="center"/>
    </xf>
    <xf numFmtId="0" fontId="51" fillId="0" borderId="65" xfId="0" applyFont="1" applyBorder="1" applyAlignment="1">
      <alignment vertical="center"/>
    </xf>
    <xf numFmtId="166" fontId="64" fillId="0" borderId="65" xfId="0" applyNumberFormat="1" applyFont="1" applyBorder="1" applyAlignment="1">
      <alignment vertical="center"/>
    </xf>
    <xf numFmtId="0" fontId="65" fillId="0" borderId="65" xfId="0" applyFont="1" applyBorder="1" applyAlignment="1">
      <alignment vertical="center"/>
    </xf>
    <xf numFmtId="0" fontId="51" fillId="0" borderId="65" xfId="0" applyFont="1" applyBorder="1" applyAlignment="1">
      <alignment horizontal="center" vertical="center"/>
    </xf>
    <xf numFmtId="0" fontId="51" fillId="0" borderId="6" xfId="0" applyFont="1" applyBorder="1" applyAlignment="1">
      <alignment vertical="center"/>
    </xf>
    <xf numFmtId="179" fontId="51" fillId="41" borderId="29" xfId="0" applyNumberFormat="1" applyFont="1" applyFill="1" applyBorder="1" applyAlignment="1">
      <alignment vertical="center"/>
    </xf>
    <xf numFmtId="179" fontId="57" fillId="41" borderId="42" xfId="0" applyNumberFormat="1" applyFont="1" applyFill="1" applyBorder="1" applyAlignment="1">
      <alignment horizontal="left" vertical="center"/>
    </xf>
    <xf numFmtId="179" fontId="51" fillId="41" borderId="0" xfId="0" applyNumberFormat="1" applyFont="1" applyFill="1" applyAlignment="1">
      <alignment vertical="center"/>
    </xf>
    <xf numFmtId="3" fontId="51" fillId="41" borderId="0" xfId="0" applyNumberFormat="1" applyFont="1" applyFill="1" applyAlignment="1">
      <alignment vertical="center"/>
    </xf>
    <xf numFmtId="3" fontId="51" fillId="41" borderId="0" xfId="0" applyNumberFormat="1" applyFont="1" applyFill="1" applyAlignment="1">
      <alignment horizontal="center" vertical="center"/>
    </xf>
    <xf numFmtId="3" fontId="53" fillId="41" borderId="30" xfId="0" applyNumberFormat="1" applyFont="1" applyFill="1" applyBorder="1" applyAlignment="1">
      <alignment vertical="center"/>
    </xf>
    <xf numFmtId="10" fontId="59" fillId="0" borderId="0" xfId="2" applyNumberFormat="1" applyFont="1" applyAlignment="1" applyProtection="1">
      <alignment vertical="center"/>
    </xf>
    <xf numFmtId="179" fontId="51" fillId="0" borderId="18" xfId="0" applyNumberFormat="1" applyFont="1" applyBorder="1" applyAlignment="1">
      <alignment vertical="center"/>
    </xf>
    <xf numFmtId="179" fontId="57" fillId="0" borderId="42" xfId="0" applyNumberFormat="1" applyFont="1" applyBorder="1" applyAlignment="1">
      <alignment horizontal="left" vertical="center"/>
    </xf>
    <xf numFmtId="3" fontId="51" fillId="0" borderId="0" xfId="0" applyNumberFormat="1" applyFont="1" applyAlignment="1">
      <alignment horizontal="center" vertical="center"/>
    </xf>
    <xf numFmtId="3" fontId="53" fillId="0" borderId="30" xfId="0" applyNumberFormat="1" applyFont="1" applyBorder="1" applyAlignment="1">
      <alignment vertical="center"/>
    </xf>
    <xf numFmtId="179" fontId="51" fillId="0" borderId="29" xfId="0" applyNumberFormat="1" applyFont="1" applyBorder="1" applyAlignment="1">
      <alignment vertical="center"/>
    </xf>
    <xf numFmtId="179" fontId="51" fillId="0" borderId="63" xfId="0" applyNumberFormat="1" applyFont="1" applyBorder="1" applyAlignment="1">
      <alignment vertical="center"/>
    </xf>
    <xf numFmtId="3" fontId="53" fillId="0" borderId="67" xfId="0" applyNumberFormat="1" applyFont="1" applyBorder="1" applyAlignment="1">
      <alignment vertical="center"/>
    </xf>
    <xf numFmtId="179" fontId="51" fillId="0" borderId="32" xfId="0" applyNumberFormat="1" applyFont="1" applyBorder="1" applyAlignment="1">
      <alignment vertical="center"/>
    </xf>
    <xf numFmtId="179" fontId="57" fillId="0" borderId="68" xfId="0" applyNumberFormat="1" applyFont="1" applyBorder="1" applyAlignment="1">
      <alignment horizontal="left" vertical="center"/>
    </xf>
    <xf numFmtId="3" fontId="59" fillId="45" borderId="5" xfId="0" applyNumberFormat="1" applyFont="1" applyFill="1" applyBorder="1" applyAlignment="1">
      <alignment vertical="center"/>
    </xf>
    <xf numFmtId="3" fontId="59" fillId="45" borderId="5" xfId="0" applyNumberFormat="1" applyFont="1" applyFill="1" applyBorder="1" applyAlignment="1">
      <alignment horizontal="center" vertical="center"/>
    </xf>
    <xf numFmtId="179" fontId="51" fillId="0" borderId="69" xfId="0" applyNumberFormat="1" applyFont="1" applyBorder="1" applyAlignment="1">
      <alignment vertical="center"/>
    </xf>
    <xf numFmtId="179" fontId="51" fillId="0" borderId="65" xfId="0" applyNumberFormat="1" applyFont="1" applyBorder="1" applyAlignment="1">
      <alignment vertical="center"/>
    </xf>
    <xf numFmtId="3" fontId="51" fillId="0" borderId="65" xfId="0" applyNumberFormat="1" applyFont="1" applyBorder="1" applyAlignment="1">
      <alignment vertical="center"/>
    </xf>
    <xf numFmtId="3" fontId="51" fillId="0" borderId="65" xfId="0" applyNumberFormat="1" applyFont="1" applyBorder="1" applyAlignment="1">
      <alignment horizontal="center" vertical="center"/>
    </xf>
    <xf numFmtId="3" fontId="51" fillId="0" borderId="28" xfId="0" applyNumberFormat="1" applyFont="1" applyBorder="1" applyAlignment="1">
      <alignment vertical="center"/>
    </xf>
    <xf numFmtId="179" fontId="51" fillId="0" borderId="43" xfId="0" applyNumberFormat="1" applyFont="1" applyBorder="1" applyAlignment="1">
      <alignment vertical="center"/>
    </xf>
    <xf numFmtId="179" fontId="53" fillId="41" borderId="1" xfId="0" applyNumberFormat="1" applyFont="1" applyFill="1" applyBorder="1" applyAlignment="1">
      <alignment vertical="center"/>
    </xf>
    <xf numFmtId="179" fontId="53" fillId="41" borderId="16" xfId="0" applyNumberFormat="1" applyFont="1" applyFill="1" applyBorder="1" applyAlignment="1">
      <alignment vertical="center"/>
    </xf>
    <xf numFmtId="179" fontId="51" fillId="0" borderId="0" xfId="0" applyNumberFormat="1" applyFont="1" applyAlignment="1">
      <alignment horizontal="center" vertical="center"/>
    </xf>
    <xf numFmtId="179" fontId="51" fillId="0" borderId="70" xfId="0" applyNumberFormat="1" applyFont="1" applyBorder="1" applyAlignment="1">
      <alignment vertical="center"/>
    </xf>
    <xf numFmtId="179" fontId="53" fillId="0" borderId="29" xfId="0" applyNumberFormat="1" applyFont="1" applyBorder="1" applyAlignment="1">
      <alignment vertical="center"/>
    </xf>
    <xf numFmtId="179" fontId="53" fillId="0" borderId="16" xfId="0" applyNumberFormat="1" applyFont="1" applyBorder="1" applyAlignment="1">
      <alignment vertical="center"/>
    </xf>
    <xf numFmtId="10" fontId="53" fillId="0" borderId="35" xfId="0" applyNumberFormat="1" applyFont="1" applyBorder="1" applyAlignment="1">
      <alignment vertical="center"/>
    </xf>
    <xf numFmtId="179" fontId="51" fillId="39" borderId="0" xfId="0" applyNumberFormat="1" applyFont="1" applyFill="1" applyAlignment="1">
      <alignment vertical="center"/>
    </xf>
    <xf numFmtId="168" fontId="67" fillId="39" borderId="16" xfId="8" applyFont="1" applyFill="1" applyBorder="1" applyAlignment="1" applyProtection="1">
      <alignment vertical="center"/>
    </xf>
    <xf numFmtId="179" fontId="53" fillId="39" borderId="32" xfId="0" applyNumberFormat="1" applyFont="1" applyFill="1" applyBorder="1" applyAlignment="1">
      <alignment vertical="center"/>
    </xf>
    <xf numFmtId="179" fontId="53" fillId="39" borderId="16" xfId="0" applyNumberFormat="1" applyFont="1" applyFill="1" applyBorder="1" applyAlignment="1">
      <alignment vertical="center"/>
    </xf>
    <xf numFmtId="10" fontId="53" fillId="39" borderId="35" xfId="0" applyNumberFormat="1" applyFont="1" applyFill="1" applyBorder="1" applyAlignment="1">
      <alignment vertical="center"/>
    </xf>
    <xf numFmtId="179" fontId="53" fillId="27" borderId="51" xfId="0" applyNumberFormat="1" applyFont="1" applyFill="1" applyBorder="1" applyAlignment="1">
      <alignment vertical="center"/>
    </xf>
    <xf numFmtId="10" fontId="68" fillId="27" borderId="51" xfId="0" applyNumberFormat="1" applyFont="1" applyFill="1" applyBorder="1" applyAlignment="1">
      <alignment vertical="center"/>
    </xf>
    <xf numFmtId="0" fontId="68" fillId="0" borderId="71" xfId="0" applyFont="1" applyBorder="1" applyAlignment="1">
      <alignment horizontal="left" vertical="center"/>
    </xf>
    <xf numFmtId="0" fontId="51" fillId="0" borderId="50" xfId="0" applyFont="1" applyBorder="1" applyAlignment="1">
      <alignment vertical="center"/>
    </xf>
    <xf numFmtId="0" fontId="69" fillId="0" borderId="50" xfId="0" applyFont="1" applyBorder="1" applyAlignment="1">
      <alignment vertical="center"/>
    </xf>
    <xf numFmtId="179" fontId="51" fillId="0" borderId="50" xfId="0" applyNumberFormat="1" applyFont="1" applyBorder="1" applyAlignment="1">
      <alignment horizontal="center" vertical="center"/>
    </xf>
    <xf numFmtId="179" fontId="51" fillId="0" borderId="51" xfId="0" applyNumberFormat="1" applyFont="1" applyBorder="1" applyAlignment="1">
      <alignment vertical="center"/>
    </xf>
    <xf numFmtId="179" fontId="53" fillId="0" borderId="0" xfId="0" applyNumberFormat="1" applyFont="1" applyAlignment="1">
      <alignment vertical="center"/>
    </xf>
    <xf numFmtId="10" fontId="53" fillId="0" borderId="0" xfId="0" applyNumberFormat="1" applyFont="1" applyAlignment="1">
      <alignment vertical="center"/>
    </xf>
    <xf numFmtId="0" fontId="70" fillId="0" borderId="0" xfId="0" quotePrefix="1" applyFont="1" applyAlignment="1">
      <alignment vertical="center"/>
    </xf>
    <xf numFmtId="10" fontId="59" fillId="0" borderId="0" xfId="0" applyNumberFormat="1" applyFont="1" applyAlignment="1">
      <alignment horizontal="center" vertical="center"/>
    </xf>
    <xf numFmtId="0" fontId="71" fillId="0" borderId="0" xfId="0" applyFont="1" applyAlignment="1">
      <alignment horizontal="center" vertical="center"/>
    </xf>
    <xf numFmtId="0" fontId="71" fillId="0" borderId="0" xfId="0" applyFont="1" applyAlignment="1">
      <alignment vertical="center"/>
    </xf>
    <xf numFmtId="0" fontId="61" fillId="0" borderId="0" xfId="0" applyFont="1" applyAlignment="1">
      <alignment vertical="center"/>
    </xf>
    <xf numFmtId="0" fontId="61" fillId="0" borderId="0" xfId="0" applyFont="1" applyAlignment="1">
      <alignment horizontal="center" vertical="center"/>
    </xf>
    <xf numFmtId="0" fontId="72" fillId="45" borderId="1" xfId="0" applyFont="1" applyFill="1" applyBorder="1" applyAlignment="1">
      <alignment vertical="center"/>
    </xf>
    <xf numFmtId="0" fontId="72" fillId="0" borderId="0" xfId="0" applyFont="1" applyAlignment="1">
      <alignment vertical="center"/>
    </xf>
    <xf numFmtId="0" fontId="72" fillId="0" borderId="0" xfId="0" applyFont="1" applyAlignment="1">
      <alignment horizontal="center" vertical="center"/>
    </xf>
    <xf numFmtId="3" fontId="73" fillId="0" borderId="1" xfId="0" applyNumberFormat="1" applyFont="1" applyBorder="1" applyAlignment="1">
      <alignment horizontal="center" vertical="center"/>
    </xf>
    <xf numFmtId="10" fontId="51" fillId="0" borderId="0" xfId="2" applyNumberFormat="1" applyFont="1" applyAlignment="1" applyProtection="1">
      <alignment horizontal="center" vertical="center"/>
    </xf>
    <xf numFmtId="181" fontId="51" fillId="0" borderId="0" xfId="0" applyNumberFormat="1" applyFont="1" applyAlignment="1">
      <alignment horizontal="center" vertical="center"/>
    </xf>
    <xf numFmtId="0" fontId="76" fillId="45" borderId="38" xfId="0" applyFont="1" applyFill="1" applyBorder="1" applyAlignment="1">
      <alignment horizontal="center" vertical="center"/>
    </xf>
    <xf numFmtId="3" fontId="76" fillId="45" borderId="35" xfId="0" applyNumberFormat="1" applyFont="1" applyFill="1" applyBorder="1" applyAlignment="1">
      <alignment horizontal="center" vertical="center"/>
    </xf>
    <xf numFmtId="0" fontId="63" fillId="0" borderId="0" xfId="0" applyFont="1" applyAlignment="1">
      <alignment horizontal="center" vertical="center"/>
    </xf>
    <xf numFmtId="3" fontId="51" fillId="0" borderId="0" xfId="0" applyNumberFormat="1" applyFont="1" applyAlignment="1">
      <alignment horizontal="left" vertical="center"/>
    </xf>
    <xf numFmtId="180" fontId="51" fillId="0" borderId="0" xfId="0" applyNumberFormat="1" applyFont="1" applyAlignment="1">
      <alignment horizontal="center" vertical="center"/>
    </xf>
    <xf numFmtId="183" fontId="51" fillId="0" borderId="0" xfId="0" applyNumberFormat="1" applyFont="1" applyAlignment="1">
      <alignment horizontal="center" vertical="center"/>
    </xf>
    <xf numFmtId="3" fontId="78" fillId="45" borderId="73" xfId="0" applyNumberFormat="1" applyFont="1" applyFill="1" applyBorder="1" applyAlignment="1">
      <alignment horizontal="center" vertical="center"/>
    </xf>
    <xf numFmtId="3" fontId="79" fillId="45" borderId="74" xfId="0" applyNumberFormat="1" applyFont="1" applyFill="1" applyBorder="1" applyAlignment="1">
      <alignment horizontal="center" vertical="center"/>
    </xf>
    <xf numFmtId="170" fontId="51" fillId="0" borderId="0" xfId="0" applyNumberFormat="1" applyFont="1" applyAlignment="1">
      <alignment horizontal="center" vertical="center"/>
    </xf>
    <xf numFmtId="184" fontId="51" fillId="0" borderId="0" xfId="2" applyNumberFormat="1" applyFont="1" applyAlignment="1" applyProtection="1">
      <alignment horizontal="center" vertical="center"/>
    </xf>
    <xf numFmtId="3" fontId="63" fillId="0" borderId="0" xfId="0" applyNumberFormat="1" applyFont="1" applyAlignment="1">
      <alignment vertical="center"/>
    </xf>
    <xf numFmtId="185" fontId="51" fillId="0" borderId="0" xfId="0" applyNumberFormat="1" applyFont="1" applyAlignment="1">
      <alignment horizontal="center" vertical="center"/>
    </xf>
    <xf numFmtId="3" fontId="63" fillId="0" borderId="0" xfId="0" quotePrefix="1" applyNumberFormat="1" applyFont="1" applyAlignment="1">
      <alignment vertical="center"/>
    </xf>
    <xf numFmtId="185" fontId="63" fillId="0" borderId="0" xfId="11" applyNumberFormat="1" applyFont="1" applyBorder="1" applyAlignment="1" applyProtection="1">
      <alignment horizontal="center" vertical="center"/>
    </xf>
    <xf numFmtId="187" fontId="51" fillId="0" borderId="0" xfId="0" applyNumberFormat="1" applyFont="1" applyAlignment="1">
      <alignment horizontal="center" vertical="center"/>
    </xf>
    <xf numFmtId="3" fontId="63" fillId="0" borderId="0" xfId="0" applyNumberFormat="1" applyFont="1" applyAlignment="1">
      <alignment horizontal="center" vertical="center"/>
    </xf>
    <xf numFmtId="0" fontId="72" fillId="46" borderId="1" xfId="0" applyFont="1" applyFill="1" applyBorder="1" applyAlignment="1">
      <alignment vertical="center"/>
    </xf>
    <xf numFmtId="0" fontId="76" fillId="46" borderId="38" xfId="0" applyFont="1" applyFill="1" applyBorder="1" applyAlignment="1">
      <alignment horizontal="center" vertical="center"/>
    </xf>
    <xf numFmtId="3" fontId="76" fillId="46" borderId="35" xfId="0" applyNumberFormat="1" applyFont="1" applyFill="1" applyBorder="1" applyAlignment="1">
      <alignment horizontal="center" vertical="center"/>
    </xf>
    <xf numFmtId="3" fontId="53" fillId="0" borderId="0" xfId="0" applyNumberFormat="1" applyFont="1" applyAlignment="1">
      <alignment horizontal="center" vertical="center"/>
    </xf>
    <xf numFmtId="0" fontId="76" fillId="0" borderId="0" xfId="0" applyFont="1" applyAlignment="1">
      <alignment horizontal="center" vertical="center"/>
    </xf>
    <xf numFmtId="3" fontId="76" fillId="0" borderId="0" xfId="0" applyNumberFormat="1" applyFont="1" applyAlignment="1">
      <alignment horizontal="center" vertical="center"/>
    </xf>
    <xf numFmtId="3" fontId="78" fillId="46" borderId="73" xfId="0" applyNumberFormat="1" applyFont="1" applyFill="1" applyBorder="1" applyAlignment="1">
      <alignment horizontal="center" vertical="center"/>
    </xf>
    <xf numFmtId="3" fontId="79" fillId="46" borderId="74" xfId="0" applyNumberFormat="1" applyFont="1" applyFill="1" applyBorder="1" applyAlignment="1">
      <alignment horizontal="center" vertical="center"/>
    </xf>
    <xf numFmtId="0" fontId="72" fillId="47" borderId="1" xfId="0" applyFont="1" applyFill="1" applyBorder="1" applyAlignment="1">
      <alignment vertical="center"/>
    </xf>
    <xf numFmtId="0" fontId="73" fillId="0" borderId="1" xfId="0" applyFont="1" applyBorder="1" applyAlignment="1">
      <alignment horizontal="center" vertical="center"/>
    </xf>
    <xf numFmtId="0" fontId="51" fillId="0" borderId="0" xfId="0" applyFont="1" applyAlignment="1">
      <alignment horizontal="left" vertical="center"/>
    </xf>
    <xf numFmtId="0" fontId="76" fillId="47" borderId="38" xfId="0" applyFont="1" applyFill="1" applyBorder="1" applyAlignment="1">
      <alignment horizontal="center" vertical="center"/>
    </xf>
    <xf numFmtId="3" fontId="76" fillId="47" borderId="35" xfId="0" applyNumberFormat="1" applyFont="1" applyFill="1" applyBorder="1" applyAlignment="1">
      <alignment horizontal="center" vertical="center"/>
    </xf>
    <xf numFmtId="188" fontId="51" fillId="0" borderId="0" xfId="0" applyNumberFormat="1" applyFont="1" applyAlignment="1">
      <alignment horizontal="center" vertical="center"/>
    </xf>
    <xf numFmtId="4" fontId="51" fillId="0" borderId="0" xfId="0" applyNumberFormat="1" applyFont="1" applyAlignment="1">
      <alignment horizontal="center" vertical="center"/>
    </xf>
    <xf numFmtId="0" fontId="78" fillId="47" borderId="73" xfId="0" applyFont="1" applyFill="1" applyBorder="1" applyAlignment="1">
      <alignment horizontal="center" vertical="center"/>
    </xf>
    <xf numFmtId="3" fontId="79" fillId="47" borderId="74" xfId="0" applyNumberFormat="1" applyFont="1" applyFill="1" applyBorder="1" applyAlignment="1">
      <alignment horizontal="center" vertical="center"/>
    </xf>
    <xf numFmtId="175" fontId="51" fillId="0" borderId="0" xfId="0" applyNumberFormat="1" applyFont="1" applyAlignment="1">
      <alignment horizontal="center" vertical="center"/>
    </xf>
    <xf numFmtId="0" fontId="80" fillId="0" borderId="38" xfId="0" applyFont="1" applyBorder="1"/>
    <xf numFmtId="10" fontId="81" fillId="48" borderId="14" xfId="0" applyNumberFormat="1" applyFont="1" applyFill="1" applyBorder="1"/>
    <xf numFmtId="0" fontId="80" fillId="0" borderId="0" xfId="0" applyFont="1"/>
    <xf numFmtId="9" fontId="82" fillId="0" borderId="0" xfId="0" quotePrefix="1" applyNumberFormat="1" applyFont="1" applyAlignment="1">
      <alignment horizontal="center" vertical="center"/>
    </xf>
    <xf numFmtId="179" fontId="80" fillId="0" borderId="38" xfId="0" applyNumberFormat="1" applyFont="1" applyBorder="1" applyAlignment="1">
      <alignment vertical="center"/>
    </xf>
    <xf numFmtId="179" fontId="80" fillId="0" borderId="16" xfId="0" applyNumberFormat="1" applyFont="1" applyBorder="1" applyAlignment="1">
      <alignment horizontal="center" vertical="center"/>
    </xf>
    <xf numFmtId="179" fontId="80" fillId="0" borderId="35" xfId="0" applyNumberFormat="1" applyFont="1" applyBorder="1" applyAlignment="1">
      <alignment horizontal="center" vertical="center"/>
    </xf>
    <xf numFmtId="168" fontId="51" fillId="39" borderId="0" xfId="8" applyFont="1" applyFill="1" applyAlignment="1" applyProtection="1">
      <alignment vertical="center"/>
    </xf>
    <xf numFmtId="0" fontId="80" fillId="0" borderId="42" xfId="0" quotePrefix="1" applyFont="1" applyBorder="1" applyAlignment="1">
      <alignment vertical="center"/>
    </xf>
    <xf numFmtId="9" fontId="80" fillId="0" borderId="43" xfId="2" applyFont="1" applyBorder="1" applyAlignment="1" applyProtection="1">
      <alignment horizontal="center" vertical="center"/>
    </xf>
    <xf numFmtId="173" fontId="80" fillId="0" borderId="43" xfId="2" applyNumberFormat="1" applyFont="1" applyBorder="1" applyAlignment="1" applyProtection="1">
      <alignment horizontal="center" vertical="center"/>
    </xf>
    <xf numFmtId="0" fontId="80" fillId="0" borderId="44" xfId="0" quotePrefix="1" applyFont="1" applyBorder="1" applyAlignment="1">
      <alignment vertical="center"/>
    </xf>
    <xf numFmtId="9" fontId="82" fillId="0" borderId="45" xfId="0" quotePrefix="1" applyNumberFormat="1" applyFont="1" applyBorder="1" applyAlignment="1">
      <alignment horizontal="center" vertical="center"/>
    </xf>
    <xf numFmtId="9" fontId="80" fillId="0" borderId="37" xfId="2" applyFont="1" applyBorder="1" applyAlignment="1" applyProtection="1">
      <alignment horizontal="center" vertical="center"/>
    </xf>
    <xf numFmtId="182" fontId="80" fillId="0" borderId="0" xfId="0" applyNumberFormat="1" applyFont="1" applyAlignment="1">
      <alignment vertical="center"/>
    </xf>
    <xf numFmtId="0" fontId="80" fillId="0" borderId="41" xfId="0" applyFont="1" applyBorder="1"/>
    <xf numFmtId="0" fontId="80" fillId="0" borderId="42" xfId="0" applyFont="1" applyBorder="1" applyAlignment="1">
      <alignment horizontal="center"/>
    </xf>
    <xf numFmtId="0" fontId="80" fillId="0" borderId="43" xfId="0" applyFont="1" applyBorder="1" applyAlignment="1">
      <alignment horizontal="center"/>
    </xf>
    <xf numFmtId="189" fontId="80" fillId="0" borderId="42" xfId="9" applyNumberFormat="1" applyFont="1" applyBorder="1" applyAlignment="1" applyProtection="1">
      <alignment horizontal="center" vertical="center"/>
    </xf>
    <xf numFmtId="9" fontId="80" fillId="0" borderId="43" xfId="2" applyFont="1" applyBorder="1" applyAlignment="1" applyProtection="1">
      <alignment horizontal="center"/>
    </xf>
    <xf numFmtId="9" fontId="80" fillId="0" borderId="43" xfId="2" applyFont="1" applyBorder="1" applyProtection="1"/>
    <xf numFmtId="189" fontId="80" fillId="0" borderId="76" xfId="9" applyNumberFormat="1" applyFont="1" applyBorder="1" applyAlignment="1" applyProtection="1">
      <alignment horizontal="center" vertical="center"/>
    </xf>
    <xf numFmtId="9" fontId="80" fillId="0" borderId="77" xfId="2" applyFont="1" applyBorder="1" applyAlignment="1" applyProtection="1">
      <alignment horizontal="center"/>
    </xf>
    <xf numFmtId="9" fontId="80" fillId="0" borderId="77" xfId="2" applyFont="1" applyBorder="1" applyProtection="1"/>
    <xf numFmtId="189" fontId="80" fillId="0" borderId="44" xfId="0" applyNumberFormat="1" applyFont="1" applyBorder="1" applyAlignment="1">
      <alignment horizontal="center"/>
    </xf>
    <xf numFmtId="9" fontId="80" fillId="0" borderId="37" xfId="2" applyFont="1" applyBorder="1" applyAlignment="1" applyProtection="1">
      <alignment horizontal="center"/>
    </xf>
    <xf numFmtId="176" fontId="80" fillId="49" borderId="37" xfId="2" applyNumberFormat="1" applyFont="1" applyFill="1" applyBorder="1" applyProtection="1"/>
    <xf numFmtId="0" fontId="0" fillId="0" borderId="0" xfId="0" applyAlignment="1">
      <alignment horizontal="center"/>
    </xf>
    <xf numFmtId="0" fontId="48" fillId="22" borderId="30" xfId="0" applyFont="1" applyFill="1" applyBorder="1" applyAlignment="1">
      <alignment horizontal="left" vertical="center"/>
    </xf>
    <xf numFmtId="0" fontId="48" fillId="30" borderId="30" xfId="0" applyFont="1" applyFill="1" applyBorder="1" applyAlignment="1">
      <alignment horizontal="left" vertical="center"/>
    </xf>
    <xf numFmtId="167" fontId="51" fillId="0" borderId="0" xfId="1" applyFont="1" applyAlignment="1">
      <alignment vertical="center"/>
    </xf>
    <xf numFmtId="167" fontId="51" fillId="0" borderId="1" xfId="1" applyFont="1" applyBorder="1" applyAlignment="1">
      <alignment vertical="center"/>
    </xf>
    <xf numFmtId="167" fontId="53" fillId="41" borderId="1" xfId="1" applyFont="1" applyFill="1" applyBorder="1" applyAlignment="1">
      <alignment vertical="center"/>
    </xf>
    <xf numFmtId="167" fontId="0" fillId="0" borderId="14" xfId="1" applyFont="1" applyBorder="1" applyAlignment="1" applyProtection="1">
      <alignment horizontal="center" vertical="center"/>
    </xf>
    <xf numFmtId="167" fontId="14" fillId="0" borderId="18" xfId="1" applyFont="1" applyBorder="1" applyAlignment="1" applyProtection="1">
      <alignment horizontal="center" vertical="center"/>
    </xf>
    <xf numFmtId="167" fontId="0" fillId="0" borderId="1" xfId="0" applyNumberFormat="1" applyBorder="1"/>
    <xf numFmtId="167" fontId="4" fillId="24" borderId="14" xfId="1" applyFont="1" applyFill="1" applyBorder="1" applyAlignment="1" applyProtection="1">
      <alignment horizontal="center" vertical="center"/>
      <protection locked="0"/>
    </xf>
    <xf numFmtId="167" fontId="0" fillId="24" borderId="14" xfId="1" applyFont="1" applyFill="1" applyBorder="1" applyAlignment="1" applyProtection="1">
      <alignment horizontal="center" vertical="center"/>
    </xf>
    <xf numFmtId="173" fontId="0" fillId="0" borderId="0" xfId="2" applyNumberFormat="1" applyFont="1"/>
    <xf numFmtId="167" fontId="0" fillId="0" borderId="1" xfId="1" applyFont="1" applyBorder="1"/>
    <xf numFmtId="9" fontId="14" fillId="24" borderId="1" xfId="2" applyFont="1" applyFill="1" applyBorder="1" applyAlignment="1">
      <alignment horizontal="center" vertical="center"/>
    </xf>
    <xf numFmtId="0" fontId="14" fillId="27" borderId="58" xfId="0" applyFont="1" applyFill="1" applyBorder="1" applyAlignment="1">
      <alignment horizontal="center" vertical="center"/>
    </xf>
    <xf numFmtId="0" fontId="14" fillId="27" borderId="60" xfId="0" applyFont="1" applyFill="1" applyBorder="1" applyAlignment="1">
      <alignment horizontal="center" vertical="center"/>
    </xf>
    <xf numFmtId="0" fontId="86" fillId="0" borderId="0" xfId="0" applyFont="1"/>
    <xf numFmtId="0" fontId="87" fillId="0" borderId="0" xfId="0" applyFont="1"/>
    <xf numFmtId="0" fontId="0" fillId="21" borderId="0" xfId="0" applyFill="1"/>
    <xf numFmtId="0" fontId="0" fillId="32" borderId="0" xfId="0" applyFill="1"/>
    <xf numFmtId="0" fontId="87" fillId="0" borderId="0" xfId="0" applyFont="1" applyAlignment="1">
      <alignment vertical="center" wrapText="1"/>
    </xf>
    <xf numFmtId="0" fontId="87" fillId="0" borderId="1" xfId="0" applyFont="1" applyBorder="1"/>
    <xf numFmtId="0" fontId="88" fillId="32" borderId="1" xfId="0" applyFont="1" applyFill="1" applyBorder="1" applyAlignment="1">
      <alignment horizontal="center"/>
    </xf>
    <xf numFmtId="0" fontId="87" fillId="0" borderId="1" xfId="0" applyFont="1" applyBorder="1" applyAlignment="1">
      <alignment vertical="center" wrapText="1"/>
    </xf>
    <xf numFmtId="0" fontId="85" fillId="0" borderId="0" xfId="0" applyFont="1"/>
    <xf numFmtId="0" fontId="87" fillId="0" borderId="1" xfId="0" applyFont="1" applyBorder="1" applyAlignment="1">
      <alignment wrapText="1"/>
    </xf>
    <xf numFmtId="0" fontId="88" fillId="32" borderId="1" xfId="0" quotePrefix="1" applyFont="1" applyFill="1" applyBorder="1" applyAlignment="1">
      <alignment horizontal="center"/>
    </xf>
    <xf numFmtId="0" fontId="46" fillId="0" borderId="0" xfId="0" applyFont="1"/>
    <xf numFmtId="0" fontId="43" fillId="0" borderId="0" xfId="0" applyFont="1"/>
    <xf numFmtId="0" fontId="88" fillId="32" borderId="1" xfId="0" quotePrefix="1" applyFont="1" applyFill="1" applyBorder="1" applyAlignment="1">
      <alignment horizontal="center" wrapText="1"/>
    </xf>
    <xf numFmtId="0" fontId="43" fillId="21" borderId="0" xfId="0" applyFont="1" applyFill="1" applyAlignment="1">
      <alignment vertical="center"/>
    </xf>
    <xf numFmtId="179" fontId="57" fillId="21" borderId="1" xfId="0" applyNumberFormat="1" applyFont="1" applyFill="1" applyBorder="1" applyAlignment="1">
      <alignment horizontal="left" vertical="center"/>
    </xf>
    <xf numFmtId="0" fontId="13" fillId="20" borderId="24" xfId="0" applyFont="1" applyFill="1" applyBorder="1" applyAlignment="1">
      <alignment vertical="center" wrapText="1"/>
    </xf>
    <xf numFmtId="0" fontId="89" fillId="0" borderId="0" xfId="0" applyFont="1"/>
    <xf numFmtId="0" fontId="13" fillId="20" borderId="24" xfId="0" applyFont="1" applyFill="1" applyBorder="1" applyAlignment="1">
      <alignment horizontal="left" vertical="center"/>
    </xf>
    <xf numFmtId="0" fontId="16" fillId="20" borderId="24" xfId="0" applyFont="1" applyFill="1" applyBorder="1" applyAlignment="1">
      <alignment vertical="center"/>
    </xf>
    <xf numFmtId="0" fontId="90" fillId="0" borderId="0" xfId="0" applyFont="1"/>
    <xf numFmtId="0" fontId="13" fillId="7" borderId="57" xfId="0" applyFont="1" applyFill="1" applyBorder="1" applyAlignment="1">
      <alignment vertical="center"/>
    </xf>
    <xf numFmtId="172" fontId="90" fillId="0" borderId="0" xfId="0" applyNumberFormat="1" applyFont="1"/>
    <xf numFmtId="0" fontId="92" fillId="0" borderId="0" xfId="0" applyFont="1"/>
    <xf numFmtId="0" fontId="13" fillId="0" borderId="0" xfId="0" applyFont="1"/>
    <xf numFmtId="0" fontId="13" fillId="7" borderId="66" xfId="0" applyFont="1" applyFill="1" applyBorder="1" applyAlignment="1">
      <alignment horizontal="center" vertical="center" wrapText="1"/>
    </xf>
    <xf numFmtId="172" fontId="13" fillId="7" borderId="4" xfId="1" applyNumberFormat="1" applyFont="1" applyFill="1" applyBorder="1" applyAlignment="1">
      <alignment horizontal="center" vertical="center" wrapText="1"/>
    </xf>
    <xf numFmtId="0" fontId="13" fillId="7" borderId="79" xfId="0" applyFont="1" applyFill="1" applyBorder="1" applyAlignment="1">
      <alignment horizontal="center" vertical="center" wrapText="1"/>
    </xf>
    <xf numFmtId="0" fontId="90" fillId="11" borderId="25" xfId="0" applyFont="1" applyFill="1" applyBorder="1" applyAlignment="1">
      <alignment vertical="center"/>
    </xf>
    <xf numFmtId="9" fontId="90" fillId="0" borderId="80" xfId="2" applyFont="1" applyFill="1" applyBorder="1" applyAlignment="1">
      <alignment vertical="center"/>
    </xf>
    <xf numFmtId="10" fontId="90" fillId="0" borderId="81" xfId="2" applyNumberFormat="1" applyFont="1" applyFill="1" applyBorder="1" applyAlignment="1">
      <alignment vertical="center"/>
    </xf>
    <xf numFmtId="0" fontId="90" fillId="11" borderId="14" xfId="0" applyFont="1" applyFill="1" applyBorder="1" applyAlignment="1">
      <alignment vertical="center"/>
    </xf>
    <xf numFmtId="168" fontId="90" fillId="11" borderId="10" xfId="8" applyFont="1" applyFill="1" applyBorder="1" applyAlignment="1">
      <alignment vertical="center"/>
    </xf>
    <xf numFmtId="0" fontId="90" fillId="11" borderId="22" xfId="0" applyFont="1" applyFill="1" applyBorder="1" applyAlignment="1">
      <alignment vertical="center" wrapText="1"/>
    </xf>
    <xf numFmtId="168" fontId="90" fillId="11" borderId="82" xfId="8" applyFont="1" applyFill="1" applyBorder="1" applyAlignment="1">
      <alignment vertical="center"/>
    </xf>
    <xf numFmtId="9" fontId="90" fillId="0" borderId="83" xfId="2" applyFont="1" applyFill="1" applyBorder="1" applyAlignment="1">
      <alignment vertical="center"/>
    </xf>
    <xf numFmtId="10" fontId="90" fillId="0" borderId="84" xfId="2" applyNumberFormat="1" applyFont="1" applyFill="1" applyBorder="1" applyAlignment="1">
      <alignment vertical="center"/>
    </xf>
    <xf numFmtId="0" fontId="13" fillId="11" borderId="0" xfId="0" applyFont="1" applyFill="1" applyAlignment="1">
      <alignment horizontal="right" vertical="center"/>
    </xf>
    <xf numFmtId="167" fontId="13" fillId="11" borderId="81" xfId="1" applyFont="1" applyFill="1" applyBorder="1"/>
    <xf numFmtId="172" fontId="90" fillId="0" borderId="0" xfId="1" applyNumberFormat="1" applyFont="1" applyFill="1" applyBorder="1"/>
    <xf numFmtId="167" fontId="90" fillId="0" borderId="0" xfId="1" applyFont="1" applyFill="1" applyBorder="1"/>
    <xf numFmtId="168" fontId="90" fillId="0" borderId="0" xfId="8" applyFont="1" applyFill="1" applyBorder="1"/>
    <xf numFmtId="9" fontId="90" fillId="0" borderId="83" xfId="2" applyFont="1" applyFill="1" applyBorder="1"/>
    <xf numFmtId="10" fontId="90" fillId="0" borderId="72" xfId="2" applyNumberFormat="1" applyFont="1" applyFill="1" applyBorder="1"/>
    <xf numFmtId="9" fontId="90" fillId="0" borderId="0" xfId="2" applyFont="1" applyFill="1" applyBorder="1"/>
    <xf numFmtId="167" fontId="90" fillId="0" borderId="0" xfId="0" applyNumberFormat="1" applyFont="1"/>
    <xf numFmtId="0" fontId="98" fillId="0" borderId="0" xfId="0" applyFont="1" applyAlignment="1">
      <alignment horizontal="center" vertical="center"/>
    </xf>
    <xf numFmtId="0" fontId="90" fillId="11" borderId="25" xfId="0" applyFont="1" applyFill="1" applyBorder="1" applyAlignment="1">
      <alignment horizontal="right" vertical="center"/>
    </xf>
    <xf numFmtId="0" fontId="99" fillId="0" borderId="0" xfId="0" applyFont="1"/>
    <xf numFmtId="10" fontId="90" fillId="0" borderId="0" xfId="2" applyNumberFormat="1" applyFont="1" applyFill="1" applyBorder="1"/>
    <xf numFmtId="10" fontId="90" fillId="0" borderId="0" xfId="0" applyNumberFormat="1" applyFont="1"/>
    <xf numFmtId="0" fontId="90" fillId="9" borderId="0" xfId="0" quotePrefix="1" applyFont="1" applyFill="1"/>
    <xf numFmtId="191" fontId="90" fillId="0" borderId="0" xfId="0" applyNumberFormat="1" applyFont="1"/>
    <xf numFmtId="0" fontId="90" fillId="9" borderId="0" xfId="0" applyFont="1" applyFill="1"/>
    <xf numFmtId="173" fontId="99" fillId="0" borderId="0" xfId="0" applyNumberFormat="1" applyFont="1"/>
    <xf numFmtId="167" fontId="90" fillId="51" borderId="0" xfId="1" applyFont="1" applyFill="1" applyBorder="1"/>
    <xf numFmtId="172" fontId="90" fillId="51" borderId="0" xfId="1" applyNumberFormat="1" applyFont="1" applyFill="1" applyBorder="1"/>
    <xf numFmtId="9" fontId="90" fillId="0" borderId="0" xfId="0" applyNumberFormat="1" applyFont="1"/>
    <xf numFmtId="192" fontId="90" fillId="0" borderId="0" xfId="0" applyNumberFormat="1" applyFont="1" applyAlignment="1">
      <alignment wrapText="1"/>
    </xf>
    <xf numFmtId="192" fontId="90" fillId="0" borderId="0" xfId="0" quotePrefix="1" applyNumberFormat="1" applyFont="1" applyAlignment="1">
      <alignment wrapText="1"/>
    </xf>
    <xf numFmtId="0" fontId="90" fillId="0" borderId="0" xfId="0" quotePrefix="1" applyFont="1" applyAlignment="1">
      <alignment wrapText="1"/>
    </xf>
    <xf numFmtId="3" fontId="90" fillId="0" borderId="0" xfId="0" applyNumberFormat="1" applyFont="1"/>
    <xf numFmtId="4" fontId="90" fillId="0" borderId="0" xfId="0" applyNumberFormat="1" applyFont="1"/>
    <xf numFmtId="0" fontId="90" fillId="0" borderId="72" xfId="0" applyFont="1" applyBorder="1"/>
    <xf numFmtId="0" fontId="102" fillId="0" borderId="0" xfId="0" applyFont="1" applyAlignment="1">
      <alignment horizontal="center" vertical="center" wrapText="1"/>
    </xf>
    <xf numFmtId="0" fontId="90" fillId="0" borderId="86" xfId="0" applyFont="1" applyBorder="1"/>
    <xf numFmtId="0" fontId="90" fillId="11" borderId="0" xfId="0" quotePrefix="1" applyFont="1" applyFill="1"/>
    <xf numFmtId="167" fontId="90" fillId="11" borderId="6" xfId="1" applyFont="1" applyFill="1" applyBorder="1" applyAlignment="1">
      <alignment vertical="center"/>
    </xf>
    <xf numFmtId="167" fontId="16" fillId="53" borderId="6" xfId="1" applyFont="1" applyFill="1" applyBorder="1" applyAlignment="1">
      <alignment vertical="center"/>
    </xf>
    <xf numFmtId="0" fontId="13" fillId="11" borderId="14" xfId="0" applyFont="1" applyFill="1" applyBorder="1" applyAlignment="1">
      <alignment vertical="center"/>
    </xf>
    <xf numFmtId="167" fontId="90" fillId="11" borderId="10" xfId="1" applyFont="1" applyFill="1" applyBorder="1" applyAlignment="1">
      <alignment vertical="center"/>
    </xf>
    <xf numFmtId="167" fontId="16" fillId="53" borderId="10" xfId="1" applyFont="1" applyFill="1" applyBorder="1" applyAlignment="1">
      <alignment vertical="center"/>
    </xf>
    <xf numFmtId="167" fontId="90" fillId="11" borderId="8" xfId="1" applyFont="1" applyFill="1" applyBorder="1" applyAlignment="1">
      <alignment vertical="center"/>
    </xf>
    <xf numFmtId="167" fontId="16" fillId="53" borderId="8" xfId="1" applyFont="1" applyFill="1" applyBorder="1" applyAlignment="1">
      <alignment vertical="center"/>
    </xf>
    <xf numFmtId="167" fontId="90" fillId="11" borderId="82" xfId="1" applyFont="1" applyFill="1" applyBorder="1" applyAlignment="1">
      <alignment vertical="center"/>
    </xf>
    <xf numFmtId="167" fontId="16" fillId="53" borderId="82" xfId="1" applyFont="1" applyFill="1" applyBorder="1" applyAlignment="1">
      <alignment vertical="center"/>
    </xf>
    <xf numFmtId="168" fontId="90" fillId="0" borderId="0" xfId="0" applyNumberFormat="1" applyFont="1"/>
    <xf numFmtId="168" fontId="90" fillId="50" borderId="6" xfId="8" applyFont="1" applyFill="1" applyBorder="1" applyAlignment="1">
      <alignment vertical="center"/>
    </xf>
    <xf numFmtId="168" fontId="90" fillId="50" borderId="10" xfId="8" applyFont="1" applyFill="1" applyBorder="1" applyAlignment="1">
      <alignment vertical="center"/>
    </xf>
    <xf numFmtId="168" fontId="90" fillId="50" borderId="82" xfId="8" applyFont="1" applyFill="1" applyBorder="1" applyAlignment="1">
      <alignment vertical="center"/>
    </xf>
    <xf numFmtId="0" fontId="4" fillId="0" borderId="0" xfId="12"/>
    <xf numFmtId="173" fontId="4" fillId="0" borderId="0" xfId="2" applyNumberFormat="1" applyFont="1"/>
    <xf numFmtId="10" fontId="4" fillId="21" borderId="0" xfId="13" applyNumberFormat="1" applyFont="1" applyFill="1"/>
    <xf numFmtId="193" fontId="4" fillId="41" borderId="0" xfId="12" applyNumberFormat="1" applyFill="1"/>
    <xf numFmtId="184" fontId="4" fillId="0" borderId="0" xfId="2" applyNumberFormat="1" applyFont="1"/>
    <xf numFmtId="184" fontId="4" fillId="0" borderId="0" xfId="12" applyNumberFormat="1"/>
    <xf numFmtId="0" fontId="4" fillId="21" borderId="0" xfId="12" applyFill="1"/>
    <xf numFmtId="10" fontId="4" fillId="55" borderId="0" xfId="13" applyNumberFormat="1" applyFont="1" applyFill="1"/>
    <xf numFmtId="9" fontId="4" fillId="21" borderId="0" xfId="13" applyFont="1" applyFill="1"/>
    <xf numFmtId="179" fontId="51" fillId="0" borderId="0" xfId="12" applyNumberFormat="1" applyFont="1" applyAlignment="1">
      <alignment horizontal="center" vertical="center"/>
    </xf>
    <xf numFmtId="0" fontId="51" fillId="0" borderId="0" xfId="12" applyFont="1" applyAlignment="1">
      <alignment horizontal="center" vertical="center"/>
    </xf>
    <xf numFmtId="167" fontId="4" fillId="0" borderId="0" xfId="12" applyNumberFormat="1"/>
    <xf numFmtId="193" fontId="4" fillId="0" borderId="0" xfId="12" applyNumberFormat="1"/>
    <xf numFmtId="194" fontId="0" fillId="0" borderId="0" xfId="13" applyNumberFormat="1" applyFont="1"/>
    <xf numFmtId="0" fontId="4" fillId="0" borderId="0" xfId="12" quotePrefix="1"/>
    <xf numFmtId="184" fontId="0" fillId="0" borderId="0" xfId="13" applyNumberFormat="1" applyFont="1"/>
    <xf numFmtId="196" fontId="0" fillId="0" borderId="0" xfId="14" quotePrefix="1" applyNumberFormat="1" applyFont="1"/>
    <xf numFmtId="165" fontId="4" fillId="0" borderId="0" xfId="12" quotePrefix="1" applyNumberFormat="1"/>
    <xf numFmtId="165" fontId="4" fillId="0" borderId="0" xfId="12" applyNumberFormat="1"/>
    <xf numFmtId="0" fontId="4" fillId="0" borderId="0" xfId="12" applyAlignment="1">
      <alignment vertical="center"/>
    </xf>
    <xf numFmtId="0" fontId="4" fillId="0" borderId="2" xfId="12" applyBorder="1" applyAlignment="1">
      <alignment horizontal="center"/>
    </xf>
    <xf numFmtId="0" fontId="106" fillId="21" borderId="0" xfId="12" applyFont="1" applyFill="1"/>
    <xf numFmtId="197" fontId="0" fillId="0" borderId="0" xfId="14" quotePrefix="1" applyNumberFormat="1" applyFont="1"/>
    <xf numFmtId="0" fontId="51" fillId="0" borderId="0" xfId="12" applyFont="1" applyAlignment="1">
      <alignment vertical="center"/>
    </xf>
    <xf numFmtId="0" fontId="0" fillId="0" borderId="0" xfId="14" quotePrefix="1" applyNumberFormat="1" applyFont="1"/>
    <xf numFmtId="196" fontId="4" fillId="55" borderId="0" xfId="14" applyNumberFormat="1" applyFont="1" applyFill="1" applyAlignment="1">
      <alignment vertical="center"/>
    </xf>
    <xf numFmtId="14" fontId="4" fillId="21" borderId="0" xfId="12" applyNumberFormat="1" applyFill="1"/>
    <xf numFmtId="167" fontId="4" fillId="21" borderId="0" xfId="1" applyFont="1" applyFill="1"/>
    <xf numFmtId="198" fontId="4" fillId="0" borderId="0" xfId="12" applyNumberFormat="1"/>
    <xf numFmtId="167" fontId="4" fillId="0" borderId="0" xfId="1" quotePrefix="1" applyFont="1"/>
    <xf numFmtId="167" fontId="4" fillId="56" borderId="0" xfId="1" applyFont="1" applyFill="1"/>
    <xf numFmtId="0" fontId="0" fillId="0" borderId="0" xfId="13" applyNumberFormat="1" applyFont="1"/>
    <xf numFmtId="0" fontId="4" fillId="56" borderId="0" xfId="12" applyFill="1"/>
    <xf numFmtId="0" fontId="48" fillId="0" borderId="0" xfId="12" applyFont="1"/>
    <xf numFmtId="0" fontId="107" fillId="41" borderId="0" xfId="12" applyFont="1" applyFill="1"/>
    <xf numFmtId="176" fontId="0" fillId="0" borderId="0" xfId="13" applyNumberFormat="1" applyFont="1"/>
    <xf numFmtId="177" fontId="0" fillId="0" borderId="0" xfId="13" applyNumberFormat="1" applyFont="1"/>
    <xf numFmtId="0" fontId="4" fillId="55" borderId="0" xfId="12" applyFill="1"/>
    <xf numFmtId="199" fontId="4" fillId="0" borderId="0" xfId="12" applyNumberFormat="1"/>
    <xf numFmtId="176" fontId="4" fillId="55" borderId="0" xfId="13" applyNumberFormat="1" applyFont="1" applyFill="1"/>
    <xf numFmtId="2" fontId="4" fillId="0" borderId="0" xfId="12" applyNumberFormat="1"/>
    <xf numFmtId="9" fontId="0" fillId="0" borderId="0" xfId="13" applyFont="1"/>
    <xf numFmtId="200" fontId="4" fillId="0" borderId="0" xfId="12" applyNumberFormat="1"/>
    <xf numFmtId="179" fontId="51" fillId="55" borderId="0" xfId="12" applyNumberFormat="1" applyFont="1" applyFill="1" applyAlignment="1">
      <alignment horizontal="center" vertical="center"/>
    </xf>
    <xf numFmtId="181" fontId="51" fillId="0" borderId="0" xfId="12" applyNumberFormat="1" applyFont="1" applyAlignment="1">
      <alignment horizontal="center" vertical="center"/>
    </xf>
    <xf numFmtId="14" fontId="4" fillId="38" borderId="0" xfId="12" applyNumberFormat="1" applyFill="1"/>
    <xf numFmtId="16" fontId="4" fillId="0" borderId="0" xfId="12" applyNumberFormat="1"/>
    <xf numFmtId="201" fontId="4" fillId="0" borderId="0" xfId="12" applyNumberFormat="1"/>
    <xf numFmtId="14" fontId="4" fillId="27" borderId="0" xfId="12" applyNumberFormat="1" applyFill="1"/>
    <xf numFmtId="0" fontId="76" fillId="47" borderId="38" xfId="12" applyFont="1" applyFill="1" applyBorder="1" applyAlignment="1">
      <alignment horizontal="center" vertical="center"/>
    </xf>
    <xf numFmtId="3" fontId="76" fillId="47" borderId="35" xfId="12" applyNumberFormat="1" applyFont="1" applyFill="1" applyBorder="1" applyAlignment="1">
      <alignment horizontal="center" vertical="center"/>
    </xf>
    <xf numFmtId="196" fontId="4" fillId="56" borderId="0" xfId="14" quotePrefix="1" applyNumberFormat="1" applyFont="1" applyFill="1"/>
    <xf numFmtId="165" fontId="4" fillId="56" borderId="0" xfId="12" quotePrefix="1" applyNumberFormat="1" applyFill="1"/>
    <xf numFmtId="165" fontId="4" fillId="56" borderId="0" xfId="12" applyNumberFormat="1" applyFill="1"/>
    <xf numFmtId="202" fontId="4" fillId="0" borderId="0" xfId="12" applyNumberFormat="1"/>
    <xf numFmtId="181" fontId="51" fillId="55" borderId="0" xfId="12" applyNumberFormat="1" applyFont="1" applyFill="1" applyAlignment="1">
      <alignment horizontal="center" vertical="center"/>
    </xf>
    <xf numFmtId="175" fontId="63" fillId="55" borderId="0" xfId="12" applyNumberFormat="1" applyFont="1" applyFill="1" applyAlignment="1">
      <alignment horizontal="center" vertical="center"/>
    </xf>
    <xf numFmtId="175" fontId="51" fillId="0" borderId="0" xfId="12" applyNumberFormat="1" applyFont="1" applyAlignment="1">
      <alignment horizontal="center" vertical="center"/>
    </xf>
    <xf numFmtId="175" fontId="51" fillId="57" borderId="0" xfId="12" applyNumberFormat="1" applyFont="1" applyFill="1" applyAlignment="1">
      <alignment horizontal="center" vertical="center"/>
    </xf>
    <xf numFmtId="3" fontId="51" fillId="0" borderId="0" xfId="12" applyNumberFormat="1" applyFont="1" applyAlignment="1">
      <alignment vertical="center"/>
    </xf>
    <xf numFmtId="196" fontId="51" fillId="0" borderId="0" xfId="12" applyNumberFormat="1" applyFont="1" applyAlignment="1">
      <alignment horizontal="center" vertical="center"/>
    </xf>
    <xf numFmtId="203" fontId="51" fillId="0" borderId="0" xfId="12" applyNumberFormat="1" applyFont="1" applyAlignment="1">
      <alignment horizontal="center" vertical="center"/>
    </xf>
    <xf numFmtId="0" fontId="78" fillId="47" borderId="73" xfId="12" applyFont="1" applyFill="1" applyBorder="1" applyAlignment="1">
      <alignment horizontal="center" vertical="center"/>
    </xf>
    <xf numFmtId="3" fontId="79" fillId="47" borderId="74" xfId="12" applyNumberFormat="1" applyFont="1" applyFill="1" applyBorder="1" applyAlignment="1">
      <alignment horizontal="center" vertical="center"/>
    </xf>
    <xf numFmtId="0" fontId="4" fillId="31" borderId="0" xfId="12" applyFill="1"/>
    <xf numFmtId="204" fontId="4" fillId="0" borderId="0" xfId="12" applyNumberFormat="1"/>
    <xf numFmtId="205" fontId="4" fillId="0" borderId="0" xfId="12" applyNumberFormat="1"/>
    <xf numFmtId="0" fontId="4" fillId="54" borderId="0" xfId="12" applyFill="1"/>
    <xf numFmtId="14" fontId="4" fillId="0" borderId="0" xfId="12" applyNumberFormat="1"/>
    <xf numFmtId="198" fontId="4" fillId="35" borderId="0" xfId="12" applyNumberFormat="1" applyFill="1"/>
    <xf numFmtId="0" fontId="108" fillId="0" borderId="0" xfId="12" applyFont="1"/>
    <xf numFmtId="205" fontId="4" fillId="0" borderId="0" xfId="12" quotePrefix="1" applyNumberFormat="1"/>
    <xf numFmtId="170" fontId="63" fillId="0" borderId="0" xfId="12" applyNumberFormat="1" applyFont="1" applyAlignment="1">
      <alignment horizontal="center" vertical="center"/>
    </xf>
    <xf numFmtId="188" fontId="51" fillId="0" borderId="0" xfId="12" applyNumberFormat="1" applyFont="1" applyAlignment="1">
      <alignment horizontal="center" vertical="center"/>
    </xf>
    <xf numFmtId="0" fontId="4" fillId="35" borderId="0" xfId="12" applyFill="1"/>
    <xf numFmtId="3" fontId="51" fillId="0" borderId="0" xfId="12" applyNumberFormat="1" applyFont="1" applyAlignment="1">
      <alignment horizontal="center" vertical="center"/>
    </xf>
    <xf numFmtId="0" fontId="4" fillId="57" borderId="0" xfId="12" applyFill="1"/>
    <xf numFmtId="4" fontId="51" fillId="0" borderId="0" xfId="12" applyNumberFormat="1" applyFont="1" applyAlignment="1">
      <alignment horizontal="center" vertical="center"/>
    </xf>
    <xf numFmtId="206" fontId="4" fillId="0" borderId="0" xfId="12" applyNumberFormat="1"/>
    <xf numFmtId="207" fontId="51" fillId="0" borderId="0" xfId="12" applyNumberFormat="1" applyFont="1" applyAlignment="1">
      <alignment horizontal="center" vertical="center"/>
    </xf>
    <xf numFmtId="4" fontId="79" fillId="47" borderId="74" xfId="12" applyNumberFormat="1" applyFont="1" applyFill="1" applyBorder="1" applyAlignment="1">
      <alignment horizontal="center" vertical="center"/>
    </xf>
    <xf numFmtId="169" fontId="4" fillId="21" borderId="0" xfId="15" applyFont="1" applyFill="1"/>
    <xf numFmtId="0" fontId="4" fillId="27" borderId="0" xfId="12" applyFill="1"/>
    <xf numFmtId="198" fontId="4" fillId="27" borderId="0" xfId="12" applyNumberFormat="1" applyFill="1"/>
    <xf numFmtId="199" fontId="4" fillId="27" borderId="0" xfId="12" applyNumberFormat="1" applyFill="1"/>
    <xf numFmtId="167" fontId="4" fillId="27" borderId="0" xfId="1" applyFont="1" applyFill="1"/>
    <xf numFmtId="167" fontId="4" fillId="27" borderId="0" xfId="1" quotePrefix="1" applyFont="1" applyFill="1"/>
    <xf numFmtId="167" fontId="4" fillId="27" borderId="0" xfId="12" applyNumberFormat="1" applyFill="1"/>
    <xf numFmtId="0" fontId="14" fillId="32" borderId="4" xfId="0" applyFont="1" applyFill="1" applyBorder="1" applyAlignment="1">
      <alignment horizontal="center" vertical="center" wrapText="1"/>
    </xf>
    <xf numFmtId="0" fontId="14" fillId="32" borderId="66" xfId="0" applyFont="1" applyFill="1" applyBorder="1" applyAlignment="1">
      <alignment horizontal="center" vertical="center" wrapText="1"/>
    </xf>
    <xf numFmtId="0" fontId="14" fillId="0" borderId="0" xfId="0" applyFont="1" applyAlignment="1">
      <alignment horizontal="right" vertical="center"/>
    </xf>
    <xf numFmtId="167" fontId="14" fillId="0" borderId="0" xfId="1" applyFont="1" applyFill="1" applyBorder="1"/>
    <xf numFmtId="0" fontId="111" fillId="0" borderId="0" xfId="0" applyFont="1" applyAlignment="1">
      <alignment horizontal="center" vertical="center" wrapText="1"/>
    </xf>
    <xf numFmtId="1" fontId="0" fillId="0" borderId="0" xfId="0" applyNumberFormat="1"/>
    <xf numFmtId="0" fontId="14" fillId="59" borderId="4" xfId="0" applyFont="1" applyFill="1" applyBorder="1" applyAlignment="1">
      <alignment horizontal="center" vertical="center" wrapText="1"/>
    </xf>
    <xf numFmtId="0" fontId="14" fillId="0" borderId="0" xfId="0" applyFont="1" applyAlignment="1">
      <alignment horizontal="center" vertical="center"/>
    </xf>
    <xf numFmtId="0" fontId="0" fillId="23" borderId="26" xfId="0" applyFill="1" applyBorder="1" applyAlignment="1">
      <alignment vertical="center"/>
    </xf>
    <xf numFmtId="14" fontId="0" fillId="27" borderId="0" xfId="0" applyNumberFormat="1" applyFill="1"/>
    <xf numFmtId="9" fontId="0" fillId="0" borderId="0" xfId="0" applyNumberFormat="1"/>
    <xf numFmtId="14" fontId="0" fillId="0" borderId="66" xfId="0" applyNumberFormat="1" applyBorder="1"/>
    <xf numFmtId="9" fontId="0" fillId="0" borderId="65" xfId="2" applyFont="1" applyBorder="1"/>
    <xf numFmtId="167" fontId="0" fillId="0" borderId="6" xfId="0" applyNumberFormat="1" applyBorder="1"/>
    <xf numFmtId="0" fontId="0" fillId="23" borderId="29" xfId="0" applyFill="1" applyBorder="1" applyAlignment="1">
      <alignment vertical="center"/>
    </xf>
    <xf numFmtId="14" fontId="0" fillId="0" borderId="15" xfId="0" applyNumberFormat="1" applyBorder="1"/>
    <xf numFmtId="9" fontId="0" fillId="0" borderId="0" xfId="2" applyFont="1" applyBorder="1"/>
    <xf numFmtId="167" fontId="0" fillId="0" borderId="10" xfId="0" applyNumberFormat="1" applyBorder="1"/>
    <xf numFmtId="0" fontId="0" fillId="23" borderId="32" xfId="0" applyFill="1" applyBorder="1" applyAlignment="1">
      <alignment vertical="center"/>
    </xf>
    <xf numFmtId="0" fontId="0" fillId="23" borderId="63" xfId="0" applyFill="1" applyBorder="1" applyAlignment="1">
      <alignment vertical="center"/>
    </xf>
    <xf numFmtId="14" fontId="0" fillId="0" borderId="24" xfId="0" applyNumberFormat="1" applyBorder="1"/>
    <xf numFmtId="9" fontId="0" fillId="0" borderId="5" xfId="2" applyFont="1" applyBorder="1"/>
    <xf numFmtId="167" fontId="0" fillId="0" borderId="23" xfId="0" applyNumberFormat="1" applyBorder="1"/>
    <xf numFmtId="167" fontId="0" fillId="0" borderId="0" xfId="1" applyFont="1"/>
    <xf numFmtId="0" fontId="0" fillId="27" borderId="0" xfId="0" applyFill="1"/>
    <xf numFmtId="0" fontId="0" fillId="0" borderId="38" xfId="0" applyBorder="1" applyAlignment="1">
      <alignment horizontal="right" vertical="center"/>
    </xf>
    <xf numFmtId="9" fontId="0" fillId="23" borderId="10" xfId="2" applyFont="1" applyFill="1" applyBorder="1" applyAlignment="1">
      <alignment vertical="center"/>
    </xf>
    <xf numFmtId="0" fontId="0" fillId="0" borderId="0" xfId="0" applyAlignment="1">
      <alignment horizontal="right" vertical="center"/>
    </xf>
    <xf numFmtId="9" fontId="0" fillId="0" borderId="0" xfId="2" applyFont="1" applyFill="1" applyBorder="1"/>
    <xf numFmtId="0" fontId="95" fillId="0" borderId="0" xfId="0" applyFont="1"/>
    <xf numFmtId="167" fontId="48" fillId="0" borderId="56" xfId="1" applyFont="1" applyFill="1" applyBorder="1" applyAlignment="1" applyProtection="1">
      <alignment horizontal="center" vertical="center"/>
    </xf>
    <xf numFmtId="167" fontId="48" fillId="0" borderId="18" xfId="1" applyFont="1" applyFill="1" applyBorder="1" applyAlignment="1" applyProtection="1">
      <alignment horizontal="center" vertical="center"/>
    </xf>
    <xf numFmtId="167" fontId="4" fillId="0" borderId="9" xfId="1" applyFont="1" applyFill="1" applyBorder="1" applyAlignment="1" applyProtection="1">
      <alignment horizontal="center" vertical="center"/>
      <protection locked="0"/>
    </xf>
    <xf numFmtId="167" fontId="4" fillId="0" borderId="14" xfId="1" applyFont="1" applyFill="1" applyBorder="1" applyAlignment="1" applyProtection="1">
      <alignment horizontal="center" vertical="center"/>
      <protection locked="0"/>
    </xf>
    <xf numFmtId="0" fontId="0" fillId="0" borderId="1" xfId="0" quotePrefix="1" applyBorder="1" applyAlignment="1">
      <alignment vertical="center" wrapText="1"/>
    </xf>
    <xf numFmtId="0" fontId="88" fillId="0" borderId="1" xfId="0" quotePrefix="1" applyFont="1" applyBorder="1" applyAlignment="1">
      <alignment horizontal="center" vertical="center" wrapText="1"/>
    </xf>
    <xf numFmtId="0" fontId="14" fillId="54" borderId="39" xfId="0" applyFont="1" applyFill="1" applyBorder="1" applyAlignment="1">
      <alignment horizontal="center" vertical="center"/>
    </xf>
    <xf numFmtId="0" fontId="14" fillId="54" borderId="40" xfId="0" applyFont="1" applyFill="1" applyBorder="1" applyAlignment="1">
      <alignment horizontal="center" vertical="center"/>
    </xf>
    <xf numFmtId="0" fontId="14" fillId="54" borderId="40" xfId="0" applyFont="1" applyFill="1" applyBorder="1" applyAlignment="1">
      <alignment horizontal="center" vertical="center" wrapText="1"/>
    </xf>
    <xf numFmtId="0" fontId="14" fillId="54" borderId="41" xfId="0" applyFont="1" applyFill="1" applyBorder="1" applyAlignment="1">
      <alignment horizontal="center" vertical="center"/>
    </xf>
    <xf numFmtId="0" fontId="0" fillId="31" borderId="1" xfId="0" applyFill="1" applyBorder="1" applyAlignment="1">
      <alignment horizontal="center" vertical="center"/>
    </xf>
    <xf numFmtId="0" fontId="0" fillId="31" borderId="1" xfId="0" applyFill="1" applyBorder="1" applyAlignment="1">
      <alignment horizontal="center" vertical="center" wrapText="1"/>
    </xf>
    <xf numFmtId="167" fontId="0" fillId="31" borderId="1" xfId="1" applyFont="1" applyFill="1" applyBorder="1" applyAlignment="1">
      <alignment horizontal="center" vertical="center"/>
    </xf>
    <xf numFmtId="0" fontId="0" fillId="31" borderId="1" xfId="0" applyFill="1" applyBorder="1" applyAlignment="1">
      <alignment horizontal="justify" vertical="center"/>
    </xf>
    <xf numFmtId="167" fontId="0" fillId="31" borderId="1" xfId="1" applyFont="1" applyFill="1" applyBorder="1" applyAlignment="1">
      <alignment horizontal="justify" vertical="center"/>
    </xf>
    <xf numFmtId="0" fontId="14" fillId="31" borderId="1" xfId="0" applyFont="1" applyFill="1" applyBorder="1" applyAlignment="1">
      <alignment horizontal="justify" vertical="center" wrapText="1"/>
    </xf>
    <xf numFmtId="167" fontId="14" fillId="31" borderId="1" xfId="0" applyNumberFormat="1" applyFont="1" applyFill="1" applyBorder="1" applyAlignment="1">
      <alignment horizontal="justify" vertical="center"/>
    </xf>
    <xf numFmtId="0" fontId="0" fillId="0" borderId="0" xfId="0" applyAlignment="1">
      <alignment horizontal="center" vertical="center" wrapText="1"/>
    </xf>
    <xf numFmtId="0" fontId="14" fillId="32" borderId="4" xfId="0" applyFont="1" applyFill="1" applyBorder="1" applyAlignment="1">
      <alignment vertical="center" wrapText="1"/>
    </xf>
    <xf numFmtId="0" fontId="14" fillId="32" borderId="3" xfId="0" applyFont="1" applyFill="1" applyBorder="1" applyAlignment="1">
      <alignment horizontal="left" vertical="center" wrapText="1"/>
    </xf>
    <xf numFmtId="0" fontId="116" fillId="0" borderId="0" xfId="0" applyFont="1" applyAlignment="1">
      <alignment horizontal="center" vertical="center"/>
    </xf>
    <xf numFmtId="0" fontId="14" fillId="32" borderId="50" xfId="0" applyFont="1" applyFill="1" applyBorder="1" applyAlignment="1">
      <alignment horizontal="center" vertical="center" wrapText="1"/>
    </xf>
    <xf numFmtId="0" fontId="0" fillId="24" borderId="14" xfId="0" applyFill="1" applyBorder="1" applyAlignment="1">
      <alignment horizontal="justify" vertical="center" wrapText="1"/>
    </xf>
    <xf numFmtId="0" fontId="0" fillId="24" borderId="31" xfId="0" applyFill="1" applyBorder="1" applyAlignment="1">
      <alignment horizontal="justify" vertical="center" wrapText="1"/>
    </xf>
    <xf numFmtId="0" fontId="0" fillId="24" borderId="4" xfId="0" applyFill="1" applyBorder="1" applyAlignment="1">
      <alignment horizontal="justify" vertical="center" wrapText="1"/>
    </xf>
    <xf numFmtId="0" fontId="0" fillId="24" borderId="25" xfId="0" applyFill="1" applyBorder="1" applyAlignment="1">
      <alignment horizontal="justify" vertical="center" wrapText="1"/>
    </xf>
    <xf numFmtId="0" fontId="14" fillId="23" borderId="4" xfId="0" applyFont="1" applyFill="1" applyBorder="1" applyAlignment="1">
      <alignment horizontal="right" vertical="center" wrapText="1"/>
    </xf>
    <xf numFmtId="190" fontId="0" fillId="0" borderId="0" xfId="0" applyNumberFormat="1"/>
    <xf numFmtId="190" fontId="14" fillId="23" borderId="4" xfId="1" applyNumberFormat="1" applyFont="1" applyFill="1" applyBorder="1" applyAlignment="1">
      <alignment horizontal="center" vertical="center"/>
    </xf>
    <xf numFmtId="9" fontId="14" fillId="23" borderId="4" xfId="2" applyFont="1" applyFill="1" applyBorder="1" applyAlignment="1">
      <alignment horizontal="center" vertical="center"/>
    </xf>
    <xf numFmtId="190" fontId="0" fillId="24" borderId="4" xfId="1" applyNumberFormat="1" applyFont="1" applyFill="1" applyBorder="1" applyAlignment="1">
      <alignment horizontal="center" vertical="center"/>
    </xf>
    <xf numFmtId="9" fontId="0" fillId="24" borderId="4" xfId="2" applyFont="1" applyFill="1" applyBorder="1" applyAlignment="1">
      <alignment horizontal="center" vertical="center"/>
    </xf>
    <xf numFmtId="190" fontId="14" fillId="32" borderId="3" xfId="0" applyNumberFormat="1" applyFont="1" applyFill="1" applyBorder="1" applyAlignment="1">
      <alignment horizontal="center" vertical="center"/>
    </xf>
    <xf numFmtId="0" fontId="14" fillId="32" borderId="3" xfId="0" applyFont="1" applyFill="1" applyBorder="1" applyAlignment="1">
      <alignment horizontal="center" vertical="center"/>
    </xf>
    <xf numFmtId="190" fontId="0" fillId="24" borderId="25" xfId="1" applyNumberFormat="1" applyFont="1" applyFill="1" applyBorder="1" applyAlignment="1">
      <alignment horizontal="center" vertical="center"/>
    </xf>
    <xf numFmtId="9" fontId="0" fillId="24" borderId="25" xfId="2" applyFont="1" applyFill="1" applyBorder="1" applyAlignment="1">
      <alignment horizontal="center" vertical="center"/>
    </xf>
    <xf numFmtId="190" fontId="0" fillId="24" borderId="14" xfId="1" applyNumberFormat="1" applyFont="1" applyFill="1" applyBorder="1" applyAlignment="1">
      <alignment horizontal="center" vertical="center"/>
    </xf>
    <xf numFmtId="9" fontId="0" fillId="24" borderId="14" xfId="2" applyFont="1" applyFill="1" applyBorder="1" applyAlignment="1">
      <alignment horizontal="center" vertical="center"/>
    </xf>
    <xf numFmtId="190" fontId="0" fillId="24" borderId="22" xfId="1" applyNumberFormat="1" applyFont="1" applyFill="1" applyBorder="1" applyAlignment="1">
      <alignment horizontal="center" vertical="center"/>
    </xf>
    <xf numFmtId="9" fontId="0" fillId="24" borderId="22" xfId="2" applyFont="1" applyFill="1" applyBorder="1" applyAlignment="1">
      <alignment horizontal="center" vertical="center"/>
    </xf>
    <xf numFmtId="0" fontId="110" fillId="0" borderId="0" xfId="0" applyFont="1"/>
    <xf numFmtId="0" fontId="36" fillId="0" borderId="0" xfId="0" applyFont="1"/>
    <xf numFmtId="0" fontId="0" fillId="24" borderId="25" xfId="0" applyFill="1" applyBorder="1" applyAlignment="1">
      <alignment vertical="center"/>
    </xf>
    <xf numFmtId="0" fontId="0" fillId="24" borderId="14" xfId="0" applyFill="1" applyBorder="1" applyAlignment="1">
      <alignment vertical="center"/>
    </xf>
    <xf numFmtId="0" fontId="0" fillId="24" borderId="22" xfId="0" applyFill="1" applyBorder="1" applyAlignment="1">
      <alignment vertical="center"/>
    </xf>
    <xf numFmtId="9" fontId="0" fillId="24" borderId="31" xfId="2" applyFont="1" applyFill="1" applyBorder="1" applyAlignment="1">
      <alignment horizontal="center" vertical="center"/>
    </xf>
    <xf numFmtId="190" fontId="0" fillId="24" borderId="31" xfId="1" applyNumberFormat="1" applyFont="1" applyFill="1" applyBorder="1" applyAlignment="1">
      <alignment horizontal="center" vertical="center"/>
    </xf>
    <xf numFmtId="190" fontId="14" fillId="32" borderId="4" xfId="0" applyNumberFormat="1" applyFont="1" applyFill="1" applyBorder="1" applyAlignment="1">
      <alignment horizontal="center" vertical="center"/>
    </xf>
    <xf numFmtId="9" fontId="14" fillId="32" borderId="4" xfId="2" applyFont="1" applyFill="1" applyBorder="1" applyAlignment="1">
      <alignment horizontal="center" vertical="center"/>
    </xf>
    <xf numFmtId="0" fontId="0" fillId="19" borderId="4" xfId="0" applyFill="1" applyBorder="1" applyAlignment="1">
      <alignment horizontal="center" vertical="center" wrapText="1"/>
    </xf>
    <xf numFmtId="0" fontId="13" fillId="20" borderId="8" xfId="0" applyFont="1" applyFill="1" applyBorder="1" applyAlignment="1">
      <alignment horizontal="left" vertical="center"/>
    </xf>
    <xf numFmtId="0" fontId="16" fillId="20" borderId="8" xfId="0" applyFont="1" applyFill="1" applyBorder="1" applyAlignment="1">
      <alignment vertical="center" wrapText="1"/>
    </xf>
    <xf numFmtId="0" fontId="13" fillId="20" borderId="8" xfId="0" applyFont="1" applyFill="1" applyBorder="1" applyAlignment="1">
      <alignment horizontal="right" vertical="center"/>
    </xf>
    <xf numFmtId="0" fontId="13" fillId="20" borderId="8" xfId="0" applyFont="1" applyFill="1" applyBorder="1" applyAlignment="1">
      <alignment vertical="center"/>
    </xf>
    <xf numFmtId="0" fontId="16" fillId="20" borderId="8" xfId="0" applyFont="1" applyFill="1" applyBorder="1" applyAlignment="1">
      <alignment vertical="center"/>
    </xf>
    <xf numFmtId="174" fontId="13" fillId="28" borderId="65" xfId="7" applyNumberFormat="1" applyFont="1" applyFill="1" applyBorder="1" applyAlignment="1">
      <alignment horizontal="center" vertical="center"/>
    </xf>
    <xf numFmtId="0" fontId="13" fillId="28" borderId="5" xfId="7" applyFont="1" applyFill="1" applyBorder="1" applyAlignment="1">
      <alignment horizontal="center"/>
    </xf>
    <xf numFmtId="0" fontId="13" fillId="20" borderId="5" xfId="0" applyFont="1" applyFill="1" applyBorder="1" applyAlignment="1">
      <alignment vertical="center"/>
    </xf>
    <xf numFmtId="0" fontId="90" fillId="0" borderId="7" xfId="0" applyFont="1" applyBorder="1"/>
    <xf numFmtId="0" fontId="90" fillId="0" borderId="8" xfId="0" applyFont="1" applyBorder="1"/>
    <xf numFmtId="0" fontId="13" fillId="20" borderId="50" xfId="0" applyFont="1" applyFill="1" applyBorder="1" applyAlignment="1">
      <alignment horizontal="right" vertical="center"/>
    </xf>
    <xf numFmtId="0" fontId="13" fillId="20" borderId="5" xfId="0" applyFont="1" applyFill="1" applyBorder="1" applyAlignment="1">
      <alignment horizontal="center" vertical="center"/>
    </xf>
    <xf numFmtId="0" fontId="16" fillId="20" borderId="5" xfId="0" applyFont="1" applyFill="1" applyBorder="1" applyAlignment="1">
      <alignment vertical="center"/>
    </xf>
    <xf numFmtId="167" fontId="13" fillId="9" borderId="51" xfId="1" applyFont="1" applyFill="1" applyBorder="1" applyAlignment="1">
      <alignment horizontal="center" vertical="center"/>
    </xf>
    <xf numFmtId="167" fontId="13" fillId="9" borderId="4" xfId="1" applyFont="1" applyFill="1" applyBorder="1" applyAlignment="1">
      <alignment horizontal="center" vertical="center"/>
    </xf>
    <xf numFmtId="0" fontId="118" fillId="20" borderId="0" xfId="0" applyFont="1" applyFill="1" applyAlignment="1">
      <alignment horizontal="left" vertical="center"/>
    </xf>
    <xf numFmtId="0" fontId="118" fillId="20" borderId="0" xfId="0" applyFont="1" applyFill="1" applyAlignment="1">
      <alignment horizontal="center" vertical="center"/>
    </xf>
    <xf numFmtId="0" fontId="118" fillId="20" borderId="65" xfId="0" applyFont="1" applyFill="1" applyBorder="1" applyAlignment="1">
      <alignment horizontal="center" vertical="center"/>
    </xf>
    <xf numFmtId="0" fontId="118" fillId="61" borderId="30" xfId="0" applyFont="1" applyFill="1" applyBorder="1" applyAlignment="1" applyProtection="1">
      <alignment horizontal="center" vertical="center"/>
      <protection locked="0"/>
    </xf>
    <xf numFmtId="0" fontId="118" fillId="20" borderId="5" xfId="0" applyFont="1" applyFill="1" applyBorder="1" applyAlignment="1">
      <alignment horizontal="center" vertical="center"/>
    </xf>
    <xf numFmtId="9" fontId="118" fillId="20" borderId="0" xfId="2" applyFont="1" applyFill="1" applyBorder="1" applyAlignment="1">
      <alignment horizontal="center" vertical="center"/>
    </xf>
    <xf numFmtId="0" fontId="15" fillId="20" borderId="0" xfId="0" applyFont="1" applyFill="1" applyAlignment="1">
      <alignment horizontal="left" vertical="center"/>
    </xf>
    <xf numFmtId="0" fontId="118" fillId="20" borderId="0" xfId="0" quotePrefix="1" applyFont="1" applyFill="1" applyAlignment="1">
      <alignment horizontal="left" vertical="center"/>
    </xf>
    <xf numFmtId="0" fontId="90" fillId="20" borderId="0" xfId="0" applyFont="1" applyFill="1" applyAlignment="1">
      <alignment vertical="top" wrapText="1"/>
    </xf>
    <xf numFmtId="0" fontId="90" fillId="20" borderId="0" xfId="0" applyFont="1" applyFill="1" applyAlignment="1">
      <alignment vertical="center"/>
    </xf>
    <xf numFmtId="0" fontId="118" fillId="61" borderId="29" xfId="0" applyFont="1" applyFill="1" applyBorder="1" applyAlignment="1" applyProtection="1">
      <alignment horizontal="center" vertical="center"/>
      <protection locked="0"/>
    </xf>
    <xf numFmtId="0" fontId="118" fillId="61" borderId="34" xfId="0" applyFont="1" applyFill="1" applyBorder="1" applyAlignment="1" applyProtection="1">
      <alignment horizontal="center" vertical="center"/>
      <protection locked="0"/>
    </xf>
    <xf numFmtId="0" fontId="118" fillId="20" borderId="16" xfId="0" applyFont="1" applyFill="1" applyBorder="1" applyAlignment="1">
      <alignment horizontal="center" vertical="center"/>
    </xf>
    <xf numFmtId="0" fontId="121" fillId="20" borderId="0" xfId="0" applyFont="1" applyFill="1" applyAlignment="1">
      <alignment horizontal="left" vertical="center"/>
    </xf>
    <xf numFmtId="178" fontId="15" fillId="20" borderId="0" xfId="0" applyNumberFormat="1" applyFont="1" applyFill="1" applyAlignment="1">
      <alignment horizontal="center" vertical="center"/>
    </xf>
    <xf numFmtId="196" fontId="118" fillId="20" borderId="28" xfId="0" applyNumberFormat="1" applyFont="1" applyFill="1" applyBorder="1" applyAlignment="1">
      <alignment horizontal="center" vertical="center"/>
    </xf>
    <xf numFmtId="196" fontId="118" fillId="20" borderId="67" xfId="0" applyNumberFormat="1" applyFont="1" applyFill="1" applyBorder="1" applyAlignment="1">
      <alignment horizontal="center" vertical="center"/>
    </xf>
    <xf numFmtId="196" fontId="118" fillId="20" borderId="30" xfId="0" applyNumberFormat="1" applyFont="1" applyFill="1" applyBorder="1" applyAlignment="1">
      <alignment horizontal="center" vertical="center"/>
    </xf>
    <xf numFmtId="0" fontId="15" fillId="63" borderId="4" xfId="0" applyFont="1" applyFill="1" applyBorder="1" applyAlignment="1">
      <alignment horizontal="center" vertical="center"/>
    </xf>
    <xf numFmtId="196" fontId="118" fillId="20" borderId="89" xfId="0" applyNumberFormat="1" applyFont="1" applyFill="1" applyBorder="1" applyAlignment="1">
      <alignment horizontal="center" vertical="center"/>
    </xf>
    <xf numFmtId="196" fontId="118" fillId="20" borderId="37" xfId="0" applyNumberFormat="1" applyFont="1" applyFill="1" applyBorder="1" applyAlignment="1">
      <alignment horizontal="center" vertical="center"/>
    </xf>
    <xf numFmtId="196" fontId="118" fillId="20" borderId="35" xfId="0" applyNumberFormat="1" applyFont="1" applyFill="1" applyBorder="1" applyAlignment="1">
      <alignment horizontal="center" vertical="center"/>
    </xf>
    <xf numFmtId="0" fontId="0" fillId="24" borderId="26" xfId="0" applyFill="1" applyBorder="1" applyAlignment="1">
      <alignment horizontal="justify" vertical="center" wrapText="1"/>
    </xf>
    <xf numFmtId="0" fontId="0" fillId="24" borderId="63" xfId="0" applyFill="1" applyBorder="1" applyAlignment="1">
      <alignment horizontal="justify" vertical="center" wrapText="1"/>
    </xf>
    <xf numFmtId="0" fontId="0" fillId="24" borderId="29" xfId="0" applyFill="1" applyBorder="1" applyAlignment="1">
      <alignment horizontal="justify" vertical="center" wrapText="1"/>
    </xf>
    <xf numFmtId="0" fontId="0" fillId="24" borderId="92" xfId="0" applyFill="1" applyBorder="1" applyAlignment="1">
      <alignment horizontal="justify" vertical="center" wrapText="1"/>
    </xf>
    <xf numFmtId="0" fontId="14" fillId="35" borderId="58" xfId="0" applyFont="1" applyFill="1" applyBorder="1" applyAlignment="1">
      <alignment horizontal="left" vertical="center" wrapText="1"/>
    </xf>
    <xf numFmtId="196" fontId="118" fillId="20" borderId="41" xfId="0" applyNumberFormat="1" applyFont="1" applyFill="1" applyBorder="1" applyAlignment="1">
      <alignment horizontal="center" vertical="center"/>
    </xf>
    <xf numFmtId="196" fontId="118" fillId="20" borderId="93" xfId="0" applyNumberFormat="1" applyFont="1" applyFill="1" applyBorder="1" applyAlignment="1">
      <alignment horizontal="center" vertical="center"/>
    </xf>
    <xf numFmtId="0" fontId="0" fillId="24" borderId="70" xfId="0" applyFill="1" applyBorder="1" applyAlignment="1">
      <alignment horizontal="justify" vertical="center" wrapText="1"/>
    </xf>
    <xf numFmtId="196" fontId="118" fillId="20" borderId="43" xfId="0" applyNumberFormat="1" applyFont="1" applyFill="1" applyBorder="1" applyAlignment="1">
      <alignment horizontal="center" vertical="center"/>
    </xf>
    <xf numFmtId="196" fontId="118" fillId="20" borderId="54" xfId="0" applyNumberFormat="1" applyFont="1" applyFill="1" applyBorder="1" applyAlignment="1">
      <alignment horizontal="center" vertical="center"/>
    </xf>
    <xf numFmtId="0" fontId="0" fillId="24" borderId="0" xfId="0" applyFill="1" applyAlignment="1">
      <alignment vertical="center"/>
    </xf>
    <xf numFmtId="0" fontId="36" fillId="24" borderId="0" xfId="0" applyFont="1" applyFill="1" applyAlignment="1">
      <alignment vertical="center" wrapText="1"/>
    </xf>
    <xf numFmtId="0" fontId="0" fillId="24" borderId="15" xfId="0" applyFill="1" applyBorder="1" applyAlignment="1">
      <alignment horizontal="center" vertical="center" wrapText="1"/>
    </xf>
    <xf numFmtId="0" fontId="0" fillId="24" borderId="0" xfId="0" applyFill="1" applyAlignment="1">
      <alignment horizontal="center" vertical="center" wrapText="1"/>
    </xf>
    <xf numFmtId="0" fontId="0" fillId="24" borderId="10" xfId="0" applyFill="1" applyBorder="1" applyAlignment="1">
      <alignment horizontal="center" vertical="center" wrapText="1"/>
    </xf>
    <xf numFmtId="0" fontId="0" fillId="24" borderId="95" xfId="0" applyFill="1" applyBorder="1" applyAlignment="1">
      <alignment horizontal="center" vertical="center"/>
    </xf>
    <xf numFmtId="0" fontId="0" fillId="24" borderId="96" xfId="0" applyFill="1" applyBorder="1" applyAlignment="1">
      <alignment vertical="center"/>
    </xf>
    <xf numFmtId="0" fontId="14" fillId="27" borderId="97" xfId="0" applyFont="1" applyFill="1" applyBorder="1" applyAlignment="1">
      <alignment vertical="center"/>
    </xf>
    <xf numFmtId="0" fontId="0" fillId="24" borderId="15" xfId="0" applyFill="1" applyBorder="1" applyAlignment="1">
      <alignment vertical="center"/>
    </xf>
    <xf numFmtId="0" fontId="0" fillId="24" borderId="10" xfId="0" applyFill="1" applyBorder="1" applyAlignment="1">
      <alignment vertical="center"/>
    </xf>
    <xf numFmtId="0" fontId="0" fillId="24" borderId="96" xfId="0" applyFill="1" applyBorder="1" applyAlignment="1">
      <alignment horizontal="center" vertical="center"/>
    </xf>
    <xf numFmtId="167" fontId="14" fillId="31" borderId="4" xfId="1" applyFont="1" applyFill="1" applyBorder="1" applyAlignment="1">
      <alignment vertical="center" wrapText="1"/>
    </xf>
    <xf numFmtId="173" fontId="14" fillId="24" borderId="0" xfId="2" applyNumberFormat="1" applyFont="1" applyFill="1" applyBorder="1" applyAlignment="1">
      <alignment horizontal="left" vertical="center" wrapText="1"/>
    </xf>
    <xf numFmtId="173" fontId="14" fillId="24" borderId="0" xfId="2" applyNumberFormat="1" applyFont="1" applyFill="1" applyBorder="1" applyAlignment="1">
      <alignment vertical="center" wrapText="1"/>
    </xf>
    <xf numFmtId="167" fontId="14" fillId="24" borderId="10" xfId="1" applyFont="1" applyFill="1" applyBorder="1" applyAlignment="1">
      <alignment vertical="center"/>
    </xf>
    <xf numFmtId="0" fontId="0" fillId="24" borderId="0" xfId="0" applyFill="1" applyAlignment="1">
      <alignment vertical="center" wrapText="1"/>
    </xf>
    <xf numFmtId="0" fontId="0" fillId="24" borderId="58" xfId="0" applyFill="1" applyBorder="1" applyAlignment="1">
      <alignment vertical="center"/>
    </xf>
    <xf numFmtId="0" fontId="0" fillId="31" borderId="59" xfId="0" applyFill="1" applyBorder="1" applyAlignment="1">
      <alignment vertical="center"/>
    </xf>
    <xf numFmtId="0" fontId="0" fillId="31" borderId="60" xfId="0" applyFill="1" applyBorder="1" applyAlignment="1">
      <alignment vertical="center"/>
    </xf>
    <xf numFmtId="0" fontId="90" fillId="20" borderId="0" xfId="0" applyFont="1" applyFill="1"/>
    <xf numFmtId="0" fontId="95" fillId="20" borderId="0" xfId="0" applyFont="1" applyFill="1"/>
    <xf numFmtId="0" fontId="13" fillId="0" borderId="26" xfId="0" applyFont="1" applyBorder="1" applyAlignment="1">
      <alignment vertical="center" wrapText="1"/>
    </xf>
    <xf numFmtId="0" fontId="13" fillId="0" borderId="29" xfId="0" applyFont="1" applyBorder="1" applyAlignment="1">
      <alignment vertical="center" wrapText="1"/>
    </xf>
    <xf numFmtId="0" fontId="13" fillId="0" borderId="32" xfId="0" applyFont="1" applyBorder="1" applyAlignment="1">
      <alignment vertical="center" wrapText="1"/>
    </xf>
    <xf numFmtId="0" fontId="13" fillId="0" borderId="0" xfId="0" applyFont="1" applyAlignment="1">
      <alignment vertical="center"/>
    </xf>
    <xf numFmtId="0" fontId="13" fillId="0" borderId="26" xfId="0" applyFont="1" applyBorder="1" applyAlignment="1">
      <alignment vertical="center"/>
    </xf>
    <xf numFmtId="0" fontId="13" fillId="0" borderId="29" xfId="0" applyFont="1" applyBorder="1" applyAlignment="1">
      <alignment vertical="center"/>
    </xf>
    <xf numFmtId="0" fontId="13" fillId="0" borderId="87" xfId="0" applyFont="1" applyBorder="1" applyAlignment="1">
      <alignment vertical="center"/>
    </xf>
    <xf numFmtId="0" fontId="90" fillId="20" borderId="0" xfId="0" applyFont="1" applyFill="1" applyAlignment="1">
      <alignment vertical="center" wrapText="1"/>
    </xf>
    <xf numFmtId="0" fontId="13" fillId="0" borderId="32" xfId="0" applyFont="1" applyBorder="1" applyAlignment="1">
      <alignment vertical="center"/>
    </xf>
    <xf numFmtId="0" fontId="90" fillId="20" borderId="0" xfId="0" applyFont="1" applyFill="1" applyAlignment="1">
      <alignment horizontal="center"/>
    </xf>
    <xf numFmtId="0" fontId="16" fillId="20" borderId="58" xfId="0" applyFont="1" applyFill="1" applyBorder="1" applyAlignment="1">
      <alignment horizontal="center" vertical="center"/>
    </xf>
    <xf numFmtId="0" fontId="16" fillId="20" borderId="59" xfId="0" applyFont="1" applyFill="1" applyBorder="1" applyAlignment="1">
      <alignment horizontal="center" vertical="center"/>
    </xf>
    <xf numFmtId="0" fontId="16" fillId="20" borderId="60" xfId="0" applyFont="1" applyFill="1" applyBorder="1" applyAlignment="1">
      <alignment horizontal="center" vertical="center"/>
    </xf>
    <xf numFmtId="0" fontId="13" fillId="20" borderId="107" xfId="0" applyFont="1" applyFill="1" applyBorder="1" applyAlignment="1">
      <alignment horizontal="center" vertical="center"/>
    </xf>
    <xf numFmtId="0" fontId="16" fillId="20" borderId="48" xfId="0" applyFont="1" applyFill="1" applyBorder="1" applyAlignment="1">
      <alignment horizontal="center" vertical="center"/>
    </xf>
    <xf numFmtId="1" fontId="16" fillId="20" borderId="49" xfId="0" applyNumberFormat="1" applyFont="1" applyFill="1" applyBorder="1" applyAlignment="1">
      <alignment horizontal="center" vertical="center"/>
    </xf>
    <xf numFmtId="0" fontId="90" fillId="0" borderId="26" xfId="0" applyFont="1" applyBorder="1" applyAlignment="1">
      <alignment horizontal="center" vertical="center" wrapText="1"/>
    </xf>
    <xf numFmtId="0" fontId="90" fillId="0" borderId="32" xfId="0" applyFont="1" applyBorder="1" applyAlignment="1">
      <alignment horizontal="center" vertical="center" wrapText="1"/>
    </xf>
    <xf numFmtId="0" fontId="90" fillId="20" borderId="33" xfId="0" applyFont="1" applyFill="1" applyBorder="1" applyAlignment="1">
      <alignment horizontal="center" vertical="center" wrapText="1"/>
    </xf>
    <xf numFmtId="0" fontId="90" fillId="0" borderId="33" xfId="0" applyFont="1" applyBorder="1" applyAlignment="1">
      <alignment horizontal="center" vertical="center" wrapText="1"/>
    </xf>
    <xf numFmtId="0" fontId="90" fillId="0" borderId="34" xfId="0" applyFont="1" applyBorder="1" applyAlignment="1">
      <alignment horizontal="center" vertical="center" wrapText="1"/>
    </xf>
    <xf numFmtId="0" fontId="90" fillId="0" borderId="60" xfId="0" applyFont="1" applyBorder="1" applyAlignment="1">
      <alignment horizontal="center" vertical="center" wrapText="1"/>
    </xf>
    <xf numFmtId="0" fontId="118" fillId="61" borderId="30" xfId="0" applyFont="1" applyFill="1" applyBorder="1" applyAlignment="1" applyProtection="1">
      <alignment vertical="center" wrapText="1"/>
      <protection locked="0"/>
    </xf>
    <xf numFmtId="0" fontId="16" fillId="65" borderId="48" xfId="0" applyFont="1" applyFill="1" applyBorder="1" applyAlignment="1">
      <alignment horizontal="center" vertical="center"/>
    </xf>
    <xf numFmtId="0" fontId="13" fillId="65" borderId="58" xfId="0" applyFont="1" applyFill="1" applyBorder="1" applyAlignment="1">
      <alignment horizontal="center" vertical="center"/>
    </xf>
    <xf numFmtId="0" fontId="90" fillId="65" borderId="0" xfId="0" applyFont="1" applyFill="1"/>
    <xf numFmtId="0" fontId="90" fillId="65" borderId="60" xfId="0" applyFont="1" applyFill="1" applyBorder="1" applyAlignment="1">
      <alignment horizontal="center" vertical="center" wrapText="1"/>
    </xf>
    <xf numFmtId="0" fontId="117" fillId="20" borderId="0" xfId="0" applyFont="1" applyFill="1"/>
    <xf numFmtId="1" fontId="16" fillId="65" borderId="49" xfId="0" quotePrefix="1" applyNumberFormat="1" applyFont="1" applyFill="1" applyBorder="1" applyAlignment="1">
      <alignment horizontal="center" vertical="center"/>
    </xf>
    <xf numFmtId="0" fontId="90" fillId="20" borderId="15" xfId="0" applyFont="1" applyFill="1" applyBorder="1" applyAlignment="1">
      <alignment horizontal="center" vertical="center" wrapText="1"/>
    </xf>
    <xf numFmtId="0" fontId="90" fillId="20" borderId="0" xfId="0" applyFont="1" applyFill="1" applyAlignment="1">
      <alignment horizontal="center" vertical="center" wrapText="1"/>
    </xf>
    <xf numFmtId="0" fontId="90" fillId="20" borderId="10" xfId="0" applyFont="1" applyFill="1" applyBorder="1" applyAlignment="1">
      <alignment horizontal="center" vertical="center" wrapText="1"/>
    </xf>
    <xf numFmtId="0" fontId="90" fillId="20" borderId="95" xfId="0" applyFont="1" applyFill="1" applyBorder="1" applyAlignment="1">
      <alignment horizontal="center" vertical="center"/>
    </xf>
    <xf numFmtId="0" fontId="90" fillId="20" borderId="96" xfId="0" applyFont="1" applyFill="1" applyBorder="1" applyAlignment="1">
      <alignment horizontal="center" vertical="center"/>
    </xf>
    <xf numFmtId="0" fontId="13" fillId="9" borderId="97" xfId="0" applyFont="1" applyFill="1" applyBorder="1" applyAlignment="1">
      <alignment horizontal="center" vertical="center"/>
    </xf>
    <xf numFmtId="0" fontId="90" fillId="20" borderId="15" xfId="0" applyFont="1" applyFill="1" applyBorder="1" applyAlignment="1">
      <alignment vertical="center"/>
    </xf>
    <xf numFmtId="0" fontId="90" fillId="20" borderId="10" xfId="0" applyFont="1" applyFill="1" applyBorder="1" applyAlignment="1">
      <alignment vertical="center"/>
    </xf>
    <xf numFmtId="0" fontId="90" fillId="20" borderId="15" xfId="0" applyFont="1" applyFill="1" applyBorder="1" applyAlignment="1">
      <alignment horizontal="center" vertical="center"/>
    </xf>
    <xf numFmtId="190" fontId="13" fillId="20" borderId="0" xfId="0" applyNumberFormat="1" applyFont="1" applyFill="1" applyAlignment="1">
      <alignment horizontal="left" vertical="center"/>
    </xf>
    <xf numFmtId="0" fontId="90" fillId="20" borderId="0" xfId="0" applyFont="1" applyFill="1" applyAlignment="1">
      <alignment horizontal="center" vertical="center"/>
    </xf>
    <xf numFmtId="173" fontId="13" fillId="20" borderId="0" xfId="2" applyNumberFormat="1" applyFont="1" applyFill="1" applyBorder="1" applyAlignment="1">
      <alignment horizontal="left" vertical="center" wrapText="1"/>
    </xf>
    <xf numFmtId="173" fontId="13" fillId="20" borderId="0" xfId="2" applyNumberFormat="1" applyFont="1" applyFill="1" applyBorder="1" applyAlignment="1">
      <alignment vertical="center" wrapText="1"/>
    </xf>
    <xf numFmtId="167" fontId="13" fillId="20" borderId="10" xfId="1" applyFont="1" applyFill="1" applyBorder="1" applyAlignment="1">
      <alignment vertical="center"/>
    </xf>
    <xf numFmtId="0" fontId="94" fillId="20" borderId="15" xfId="0" quotePrefix="1" applyFont="1" applyFill="1" applyBorder="1" applyAlignment="1">
      <alignment horizontal="left" vertical="center" indent="1"/>
    </xf>
    <xf numFmtId="0" fontId="94" fillId="20" borderId="0" xfId="0" applyFont="1" applyFill="1" applyAlignment="1">
      <alignment horizontal="left" vertical="center" indent="1"/>
    </xf>
    <xf numFmtId="190" fontId="124" fillId="20" borderId="0" xfId="0" applyNumberFormat="1" applyFont="1" applyFill="1" applyAlignment="1">
      <alignment vertical="center"/>
    </xf>
    <xf numFmtId="0" fontId="13" fillId="20" borderId="0" xfId="0" applyFont="1" applyFill="1" applyAlignment="1">
      <alignment vertical="center"/>
    </xf>
    <xf numFmtId="0" fontId="125" fillId="20" borderId="0" xfId="0" applyFont="1" applyFill="1" applyAlignment="1">
      <alignment vertical="center"/>
    </xf>
    <xf numFmtId="0" fontId="126" fillId="0" borderId="112" xfId="0" applyFont="1" applyBorder="1" applyAlignment="1">
      <alignment horizontal="center" vertical="center" wrapText="1"/>
    </xf>
    <xf numFmtId="0" fontId="34" fillId="66" borderId="113" xfId="0" applyFont="1" applyFill="1" applyBorder="1" applyAlignment="1" applyProtection="1">
      <alignment horizontal="center" vertical="center" wrapText="1"/>
      <protection locked="0"/>
    </xf>
    <xf numFmtId="0" fontId="34" fillId="66" borderId="114" xfId="0" applyFont="1" applyFill="1" applyBorder="1" applyAlignment="1" applyProtection="1">
      <alignment horizontal="center" vertical="center" wrapText="1"/>
      <protection locked="0"/>
    </xf>
    <xf numFmtId="14" fontId="34" fillId="66" borderId="114" xfId="0" applyNumberFormat="1" applyFont="1" applyFill="1" applyBorder="1" applyAlignment="1" applyProtection="1">
      <alignment horizontal="center" vertical="center" wrapText="1"/>
      <protection locked="0"/>
    </xf>
    <xf numFmtId="190" fontId="34" fillId="66" borderId="114" xfId="1" applyNumberFormat="1" applyFont="1" applyFill="1" applyBorder="1" applyAlignment="1" applyProtection="1">
      <alignment horizontal="right" vertical="center" wrapText="1"/>
      <protection locked="0"/>
    </xf>
    <xf numFmtId="190" fontId="34" fillId="66" borderId="114" xfId="1" applyNumberFormat="1" applyFont="1" applyFill="1" applyBorder="1" applyAlignment="1" applyProtection="1">
      <alignment horizontal="center" vertical="center" wrapText="1"/>
      <protection locked="0"/>
    </xf>
    <xf numFmtId="0" fontId="34" fillId="66" borderId="115" xfId="0" applyFont="1" applyFill="1" applyBorder="1" applyAlignment="1" applyProtection="1">
      <alignment horizontal="center" vertical="center" wrapText="1"/>
      <protection locked="0"/>
    </xf>
    <xf numFmtId="0" fontId="34" fillId="66" borderId="116" xfId="0" applyFont="1" applyFill="1" applyBorder="1" applyAlignment="1" applyProtection="1">
      <alignment horizontal="center" vertical="center" wrapText="1"/>
      <protection locked="0"/>
    </xf>
    <xf numFmtId="14" fontId="34" fillId="66" borderId="116" xfId="0" applyNumberFormat="1" applyFont="1" applyFill="1" applyBorder="1" applyAlignment="1" applyProtection="1">
      <alignment horizontal="center" vertical="center" wrapText="1"/>
      <protection locked="0"/>
    </xf>
    <xf numFmtId="190" fontId="34" fillId="66" borderId="116" xfId="1" applyNumberFormat="1" applyFont="1" applyFill="1" applyBorder="1" applyAlignment="1" applyProtection="1">
      <alignment horizontal="right" vertical="center" wrapText="1"/>
      <protection locked="0"/>
    </xf>
    <xf numFmtId="190" fontId="34" fillId="66" borderId="116" xfId="1" applyNumberFormat="1" applyFont="1" applyFill="1" applyBorder="1" applyAlignment="1" applyProtection="1">
      <alignment horizontal="center" vertical="center" wrapText="1"/>
      <protection locked="0"/>
    </xf>
    <xf numFmtId="0" fontId="34" fillId="66" borderId="117" xfId="0" applyFont="1" applyFill="1" applyBorder="1" applyAlignment="1" applyProtection="1">
      <alignment horizontal="center" vertical="center" wrapText="1"/>
      <protection locked="0"/>
    </xf>
    <xf numFmtId="0" fontId="34" fillId="66" borderId="118" xfId="0" applyFont="1" applyFill="1" applyBorder="1" applyAlignment="1" applyProtection="1">
      <alignment horizontal="center" vertical="center" wrapText="1"/>
      <protection locked="0"/>
    </xf>
    <xf numFmtId="14" fontId="34" fillId="66" borderId="118" xfId="0" applyNumberFormat="1" applyFont="1" applyFill="1" applyBorder="1" applyAlignment="1" applyProtection="1">
      <alignment horizontal="center" vertical="center" wrapText="1"/>
      <protection locked="0"/>
    </xf>
    <xf numFmtId="190" fontId="34" fillId="66" borderId="118" xfId="1" applyNumberFormat="1" applyFont="1" applyFill="1" applyBorder="1" applyAlignment="1" applyProtection="1">
      <alignment horizontal="right" vertical="center" wrapText="1"/>
      <protection locked="0"/>
    </xf>
    <xf numFmtId="190" fontId="34" fillId="66" borderId="118" xfId="1" applyNumberFormat="1" applyFont="1" applyFill="1" applyBorder="1" applyAlignment="1" applyProtection="1">
      <alignment horizontal="center" vertical="center" wrapText="1"/>
      <protection locked="0"/>
    </xf>
    <xf numFmtId="0" fontId="126" fillId="0" borderId="111" xfId="0" applyFont="1" applyBorder="1" applyAlignment="1">
      <alignment vertical="center" wrapText="1"/>
    </xf>
    <xf numFmtId="0" fontId="126" fillId="0" borderId="112" xfId="0" applyFont="1" applyBorder="1" applyAlignment="1">
      <alignment vertical="center" wrapText="1"/>
    </xf>
    <xf numFmtId="0" fontId="13" fillId="20" borderId="71" xfId="0" applyFont="1" applyFill="1" applyBorder="1" applyAlignment="1">
      <alignment vertical="center"/>
    </xf>
    <xf numFmtId="0" fontId="13" fillId="20" borderId="50" xfId="0" applyFont="1" applyFill="1" applyBorder="1" applyAlignment="1">
      <alignment vertical="center"/>
    </xf>
    <xf numFmtId="0" fontId="13" fillId="20" borderId="51" xfId="0" applyFont="1" applyFill="1" applyBorder="1" applyAlignment="1">
      <alignment vertical="center"/>
    </xf>
    <xf numFmtId="0" fontId="34" fillId="66" borderId="4" xfId="0" applyFont="1" applyFill="1" applyBorder="1" applyAlignment="1" applyProtection="1">
      <alignment horizontal="center" vertical="center" wrapText="1"/>
      <protection locked="0"/>
    </xf>
    <xf numFmtId="0" fontId="126" fillId="0" borderId="119" xfId="0" applyFont="1" applyBorder="1" applyAlignment="1">
      <alignment horizontal="center" vertical="center" wrapText="1"/>
    </xf>
    <xf numFmtId="196" fontId="34" fillId="66" borderId="114" xfId="0" applyNumberFormat="1" applyFont="1" applyFill="1" applyBorder="1" applyAlignment="1" applyProtection="1">
      <alignment horizontal="center" vertical="center" wrapText="1"/>
      <protection locked="0"/>
    </xf>
    <xf numFmtId="196" fontId="34" fillId="66" borderId="116" xfId="0" applyNumberFormat="1" applyFont="1" applyFill="1" applyBorder="1" applyAlignment="1" applyProtection="1">
      <alignment horizontal="center" vertical="center" wrapText="1"/>
      <protection locked="0"/>
    </xf>
    <xf numFmtId="196" fontId="34" fillId="66" borderId="118" xfId="0" applyNumberFormat="1" applyFont="1" applyFill="1" applyBorder="1" applyAlignment="1" applyProtection="1">
      <alignment horizontal="center" vertical="center" wrapText="1"/>
      <protection locked="0"/>
    </xf>
    <xf numFmtId="0" fontId="8" fillId="20" borderId="0" xfId="0" applyFont="1" applyFill="1" applyAlignment="1">
      <alignment vertical="center"/>
    </xf>
    <xf numFmtId="0" fontId="13" fillId="9" borderId="96" xfId="0" applyFont="1" applyFill="1" applyBorder="1" applyAlignment="1">
      <alignment horizontal="center" vertical="center"/>
    </xf>
    <xf numFmtId="0" fontId="34" fillId="66" borderId="120" xfId="0" applyFont="1" applyFill="1" applyBorder="1" applyAlignment="1" applyProtection="1">
      <alignment horizontal="center" vertical="center" wrapText="1"/>
      <protection locked="0"/>
    </xf>
    <xf numFmtId="0" fontId="126" fillId="0" borderId="119" xfId="0" applyFont="1" applyBorder="1" applyAlignment="1">
      <alignment vertical="center" wrapText="1"/>
    </xf>
    <xf numFmtId="178" fontId="126" fillId="0" borderId="125" xfId="0" applyNumberFormat="1" applyFont="1" applyBorder="1" applyAlignment="1">
      <alignment vertical="center" wrapText="1"/>
    </xf>
    <xf numFmtId="0" fontId="126" fillId="0" borderId="124" xfId="0" applyFont="1" applyBorder="1" applyAlignment="1">
      <alignment vertical="center" wrapText="1"/>
    </xf>
    <xf numFmtId="14" fontId="34" fillId="66" borderId="126" xfId="0" applyNumberFormat="1" applyFont="1" applyFill="1" applyBorder="1" applyAlignment="1" applyProtection="1">
      <alignment horizontal="center" vertical="center" wrapText="1"/>
      <protection locked="0"/>
    </xf>
    <xf numFmtId="190" fontId="34" fillId="66" borderId="127" xfId="1" applyNumberFormat="1" applyFont="1" applyFill="1" applyBorder="1" applyAlignment="1" applyProtection="1">
      <alignment horizontal="center" vertical="center" wrapText="1"/>
      <protection locked="0"/>
    </xf>
    <xf numFmtId="190" fontId="34" fillId="66" borderId="122" xfId="1" applyNumberFormat="1" applyFont="1" applyFill="1" applyBorder="1" applyAlignment="1" applyProtection="1">
      <alignment horizontal="center" vertical="center" wrapText="1"/>
      <protection locked="0"/>
    </xf>
    <xf numFmtId="190" fontId="34" fillId="66" borderId="128" xfId="1" applyNumberFormat="1" applyFont="1" applyFill="1" applyBorder="1" applyAlignment="1" applyProtection="1">
      <alignment horizontal="center" vertical="center" wrapText="1"/>
      <protection locked="0"/>
    </xf>
    <xf numFmtId="0" fontId="90" fillId="62" borderId="0" xfId="0" applyFont="1" applyFill="1" applyAlignment="1">
      <alignment vertical="center"/>
    </xf>
    <xf numFmtId="0" fontId="0" fillId="24" borderId="0" xfId="0" applyFill="1"/>
    <xf numFmtId="0" fontId="46" fillId="24" borderId="0" xfId="0" applyFont="1" applyFill="1"/>
    <xf numFmtId="190" fontId="126" fillId="0" borderId="119" xfId="1" applyNumberFormat="1" applyFont="1" applyFill="1" applyBorder="1" applyAlignment="1">
      <alignment horizontal="right" vertical="center" wrapText="1"/>
    </xf>
    <xf numFmtId="0" fontId="34" fillId="66" borderId="130" xfId="0" applyFont="1" applyFill="1" applyBorder="1" applyAlignment="1" applyProtection="1">
      <alignment horizontal="center" vertical="center" wrapText="1"/>
      <protection locked="0"/>
    </xf>
    <xf numFmtId="0" fontId="126" fillId="0" borderId="71" xfId="0" applyFont="1" applyBorder="1" applyAlignment="1">
      <alignment horizontal="center" vertical="center" wrapText="1"/>
    </xf>
    <xf numFmtId="0" fontId="126" fillId="0" borderId="125" xfId="0" applyFont="1" applyBorder="1" applyAlignment="1">
      <alignment horizontal="center" vertical="center" wrapText="1"/>
    </xf>
    <xf numFmtId="190" fontId="34" fillId="66" borderId="130" xfId="1" applyNumberFormat="1" applyFont="1" applyFill="1" applyBorder="1" applyAlignment="1" applyProtection="1">
      <alignment horizontal="center" vertical="center" wrapText="1"/>
      <protection locked="0"/>
    </xf>
    <xf numFmtId="190" fontId="34" fillId="66" borderId="129" xfId="1" applyNumberFormat="1" applyFont="1" applyFill="1" applyBorder="1" applyAlignment="1" applyProtection="1">
      <alignment horizontal="center" vertical="center" wrapText="1"/>
      <protection locked="0"/>
    </xf>
    <xf numFmtId="0" fontId="126" fillId="0" borderId="51" xfId="0" applyFont="1" applyBorder="1" applyAlignment="1">
      <alignment horizontal="center" vertical="center" wrapText="1"/>
    </xf>
    <xf numFmtId="0" fontId="127" fillId="20" borderId="0" xfId="0" applyFont="1" applyFill="1" applyAlignment="1">
      <alignment vertical="center"/>
    </xf>
    <xf numFmtId="0" fontId="31" fillId="35" borderId="58" xfId="0" applyFont="1" applyFill="1" applyBorder="1" applyAlignment="1">
      <alignment horizontal="center" vertical="center" wrapText="1"/>
    </xf>
    <xf numFmtId="0" fontId="31" fillId="35" borderId="59" xfId="0" applyFont="1" applyFill="1" applyBorder="1" applyAlignment="1">
      <alignment horizontal="center" vertical="center" wrapText="1"/>
    </xf>
    <xf numFmtId="0" fontId="31" fillId="35" borderId="60" xfId="0" applyFont="1" applyFill="1" applyBorder="1" applyAlignment="1">
      <alignment horizontal="center" vertical="center" wrapText="1"/>
    </xf>
    <xf numFmtId="0" fontId="14" fillId="27" borderId="96" xfId="0" applyFont="1" applyFill="1" applyBorder="1" applyAlignment="1">
      <alignment vertical="center"/>
    </xf>
    <xf numFmtId="0" fontId="0" fillId="24" borderId="133" xfId="0" applyFill="1" applyBorder="1" applyAlignment="1">
      <alignment vertical="center"/>
    </xf>
    <xf numFmtId="0" fontId="90" fillId="20" borderId="133" xfId="0" applyFont="1" applyFill="1" applyBorder="1" applyAlignment="1">
      <alignment horizontal="center" vertical="center"/>
    </xf>
    <xf numFmtId="0" fontId="34" fillId="66" borderId="134" xfId="0" applyFont="1" applyFill="1" applyBorder="1" applyAlignment="1" applyProtection="1">
      <alignment horizontal="center" vertical="center" wrapText="1"/>
      <protection locked="0"/>
    </xf>
    <xf numFmtId="14" fontId="34" fillId="66" borderId="130" xfId="0" applyNumberFormat="1" applyFont="1" applyFill="1" applyBorder="1" applyAlignment="1" applyProtection="1">
      <alignment horizontal="center" vertical="center" wrapText="1"/>
      <protection locked="0"/>
    </xf>
    <xf numFmtId="190" fontId="34" fillId="66" borderId="130" xfId="1" applyNumberFormat="1" applyFont="1" applyFill="1" applyBorder="1" applyAlignment="1" applyProtection="1">
      <alignment horizontal="right" vertical="center" wrapText="1"/>
      <protection locked="0"/>
    </xf>
    <xf numFmtId="190" fontId="34" fillId="66" borderId="121" xfId="1" applyNumberFormat="1" applyFont="1" applyFill="1" applyBorder="1" applyAlignment="1" applyProtection="1">
      <alignment horizontal="center" vertical="center" wrapText="1"/>
      <protection locked="0"/>
    </xf>
    <xf numFmtId="167" fontId="0" fillId="24" borderId="2" xfId="1" applyFont="1" applyFill="1" applyBorder="1"/>
    <xf numFmtId="167" fontId="0" fillId="24" borderId="1" xfId="1" applyFont="1" applyFill="1" applyBorder="1"/>
    <xf numFmtId="167" fontId="0" fillId="24" borderId="36" xfId="1" applyFont="1" applyFill="1" applyBorder="1"/>
    <xf numFmtId="167" fontId="0" fillId="24" borderId="52" xfId="1" applyFont="1" applyFill="1" applyBorder="1"/>
    <xf numFmtId="167" fontId="0" fillId="35" borderId="59" xfId="0" applyNumberFormat="1" applyFill="1" applyBorder="1"/>
    <xf numFmtId="9" fontId="118" fillId="20" borderId="4" xfId="2" applyFont="1" applyFill="1" applyBorder="1" applyAlignment="1">
      <alignment horizontal="center" vertical="center"/>
    </xf>
    <xf numFmtId="167" fontId="0" fillId="24" borderId="67" xfId="1" applyFont="1" applyFill="1" applyBorder="1"/>
    <xf numFmtId="167" fontId="0" fillId="24" borderId="30" xfId="1" applyFont="1" applyFill="1" applyBorder="1"/>
    <xf numFmtId="167" fontId="0" fillId="35" borderId="60" xfId="0" applyNumberFormat="1" applyFill="1" applyBorder="1"/>
    <xf numFmtId="167" fontId="0" fillId="24" borderId="0" xfId="0" applyNumberFormat="1" applyFill="1"/>
    <xf numFmtId="9" fontId="0" fillId="24" borderId="0" xfId="2" applyFont="1" applyFill="1"/>
    <xf numFmtId="190" fontId="34" fillId="66" borderId="127" xfId="1" applyNumberFormat="1" applyFont="1" applyFill="1" applyBorder="1" applyAlignment="1" applyProtection="1">
      <alignment horizontal="right" vertical="center" wrapText="1"/>
      <protection locked="0"/>
    </xf>
    <xf numFmtId="190" fontId="34" fillId="66" borderId="121" xfId="1" applyNumberFormat="1" applyFont="1" applyFill="1" applyBorder="1" applyAlignment="1" applyProtection="1">
      <alignment horizontal="right" vertical="center" wrapText="1"/>
      <protection locked="0"/>
    </xf>
    <xf numFmtId="190" fontId="34" fillId="66" borderId="122" xfId="1" applyNumberFormat="1" applyFont="1" applyFill="1" applyBorder="1" applyAlignment="1" applyProtection="1">
      <alignment horizontal="right" vertical="center" wrapText="1"/>
      <protection locked="0"/>
    </xf>
    <xf numFmtId="190" fontId="34" fillId="66" borderId="128" xfId="1" applyNumberFormat="1" applyFont="1" applyFill="1" applyBorder="1" applyAlignment="1" applyProtection="1">
      <alignment horizontal="right" vertical="center" wrapText="1"/>
      <protection locked="0"/>
    </xf>
    <xf numFmtId="0" fontId="15" fillId="20" borderId="0" xfId="0" applyFont="1" applyFill="1" applyAlignment="1">
      <alignment horizontal="left" vertical="center" wrapText="1"/>
    </xf>
    <xf numFmtId="0" fontId="31" fillId="35" borderId="107" xfId="0" applyFont="1" applyFill="1" applyBorder="1" applyAlignment="1">
      <alignment horizontal="center" vertical="center" wrapText="1"/>
    </xf>
    <xf numFmtId="167" fontId="34" fillId="66" borderId="4" xfId="1" applyFont="1" applyFill="1" applyBorder="1" applyAlignment="1" applyProtection="1">
      <alignment horizontal="center" vertical="center" wrapText="1"/>
      <protection locked="0"/>
    </xf>
    <xf numFmtId="167" fontId="0" fillId="24" borderId="54" xfId="1" applyFont="1" applyFill="1" applyBorder="1"/>
    <xf numFmtId="165" fontId="0" fillId="24" borderId="0" xfId="0" applyNumberFormat="1" applyFill="1"/>
    <xf numFmtId="190" fontId="126" fillId="0" borderId="112" xfId="1" applyNumberFormat="1" applyFont="1" applyFill="1" applyBorder="1" applyAlignment="1">
      <alignment horizontal="center" vertical="center" wrapText="1"/>
    </xf>
    <xf numFmtId="190" fontId="126" fillId="0" borderId="119" xfId="1" applyNumberFormat="1" applyFont="1" applyFill="1" applyBorder="1" applyAlignment="1">
      <alignment horizontal="center" vertical="center" wrapText="1"/>
    </xf>
    <xf numFmtId="0" fontId="90" fillId="69" borderId="0" xfId="0" applyFont="1" applyFill="1" applyAlignment="1">
      <alignment vertical="center"/>
    </xf>
    <xf numFmtId="0" fontId="35" fillId="0" borderId="0" xfId="4" applyFont="1"/>
    <xf numFmtId="170" fontId="35" fillId="0" borderId="0" xfId="4" applyNumberFormat="1" applyFont="1"/>
    <xf numFmtId="0" fontId="2" fillId="66" borderId="113" xfId="0" applyFont="1" applyFill="1" applyBorder="1" applyAlignment="1" applyProtection="1">
      <alignment horizontal="center" vertical="center" wrapText="1"/>
      <protection locked="0"/>
    </xf>
    <xf numFmtId="0" fontId="2" fillId="66" borderId="114" xfId="0" applyFont="1" applyFill="1" applyBorder="1" applyAlignment="1" applyProtection="1">
      <alignment horizontal="center" vertical="center" wrapText="1"/>
      <protection locked="0"/>
    </xf>
    <xf numFmtId="14" fontId="2" fillId="66" borderId="114" xfId="0" applyNumberFormat="1" applyFont="1" applyFill="1" applyBorder="1" applyAlignment="1" applyProtection="1">
      <alignment horizontal="center" vertical="center" wrapText="1"/>
      <protection locked="0"/>
    </xf>
    <xf numFmtId="178" fontId="34" fillId="66" borderId="114" xfId="0" applyNumberFormat="1" applyFont="1" applyFill="1" applyBorder="1" applyAlignment="1" applyProtection="1">
      <alignment horizontal="center" vertical="center" wrapText="1"/>
      <protection locked="0"/>
    </xf>
    <xf numFmtId="0" fontId="34" fillId="66" borderId="135" xfId="0" applyFont="1" applyFill="1" applyBorder="1" applyAlignment="1" applyProtection="1">
      <alignment horizontal="center" vertical="center" wrapText="1"/>
      <protection locked="0"/>
    </xf>
    <xf numFmtId="0" fontId="2" fillId="66" borderId="134" xfId="0" applyFont="1" applyFill="1" applyBorder="1" applyAlignment="1" applyProtection="1">
      <alignment horizontal="center" vertical="center" wrapText="1"/>
      <protection locked="0"/>
    </xf>
    <xf numFmtId="0" fontId="2" fillId="66" borderId="130" xfId="0" applyFont="1" applyFill="1" applyBorder="1" applyAlignment="1" applyProtection="1">
      <alignment horizontal="center" vertical="center" wrapText="1"/>
      <protection locked="0"/>
    </xf>
    <xf numFmtId="14" fontId="2" fillId="66" borderId="130" xfId="0" applyNumberFormat="1" applyFont="1" applyFill="1" applyBorder="1" applyAlignment="1" applyProtection="1">
      <alignment horizontal="center" vertical="center" wrapText="1"/>
      <protection locked="0"/>
    </xf>
    <xf numFmtId="178" fontId="34" fillId="66" borderId="130" xfId="0" applyNumberFormat="1" applyFont="1" applyFill="1" applyBorder="1" applyAlignment="1" applyProtection="1">
      <alignment horizontal="center" vertical="center" wrapText="1"/>
      <protection locked="0"/>
    </xf>
    <xf numFmtId="0" fontId="34" fillId="66" borderId="136" xfId="0" applyFont="1" applyFill="1" applyBorder="1" applyAlignment="1" applyProtection="1">
      <alignment horizontal="center" vertical="center" wrapText="1"/>
      <protection locked="0"/>
    </xf>
    <xf numFmtId="178" fontId="34" fillId="66" borderId="118" xfId="0" applyNumberFormat="1" applyFont="1" applyFill="1" applyBorder="1" applyAlignment="1" applyProtection="1">
      <alignment horizontal="center" vertical="center" wrapText="1"/>
      <protection locked="0"/>
    </xf>
    <xf numFmtId="0" fontId="126" fillId="0" borderId="50" xfId="0" applyFont="1" applyBorder="1" applyAlignment="1">
      <alignment horizontal="center" vertical="center" wrapText="1"/>
    </xf>
    <xf numFmtId="0" fontId="34" fillId="66" borderId="138" xfId="0" applyFont="1" applyFill="1" applyBorder="1" applyAlignment="1" applyProtection="1">
      <alignment horizontal="center" vertical="center" wrapText="1"/>
      <protection locked="0"/>
    </xf>
    <xf numFmtId="0" fontId="34" fillId="66" borderId="139" xfId="0" applyFont="1" applyFill="1" applyBorder="1" applyAlignment="1" applyProtection="1">
      <alignment horizontal="center" vertical="center" wrapText="1"/>
      <protection locked="0"/>
    </xf>
    <xf numFmtId="14" fontId="34" fillId="66" borderId="140" xfId="0" applyNumberFormat="1" applyFont="1" applyFill="1" applyBorder="1" applyAlignment="1" applyProtection="1">
      <alignment horizontal="center" vertical="center" wrapText="1"/>
      <protection locked="0"/>
    </xf>
    <xf numFmtId="0" fontId="126" fillId="0" borderId="50" xfId="0" applyFont="1" applyBorder="1" applyAlignment="1">
      <alignment vertical="center" wrapText="1"/>
    </xf>
    <xf numFmtId="14" fontId="126" fillId="66" borderId="114" xfId="0" applyNumberFormat="1" applyFont="1" applyFill="1" applyBorder="1" applyAlignment="1" applyProtection="1">
      <alignment horizontal="center" vertical="center" wrapText="1"/>
      <protection locked="0"/>
    </xf>
    <xf numFmtId="14" fontId="126" fillId="66" borderId="130" xfId="0" applyNumberFormat="1" applyFont="1" applyFill="1" applyBorder="1" applyAlignment="1" applyProtection="1">
      <alignment horizontal="center" vertical="center" wrapText="1"/>
      <protection locked="0"/>
    </xf>
    <xf numFmtId="14" fontId="126" fillId="66" borderId="118" xfId="0" applyNumberFormat="1" applyFont="1" applyFill="1" applyBorder="1" applyAlignment="1" applyProtection="1">
      <alignment horizontal="center" vertical="center" wrapText="1"/>
      <protection locked="0"/>
    </xf>
    <xf numFmtId="0" fontId="126" fillId="0" borderId="141" xfId="0" applyFont="1" applyBorder="1" applyAlignment="1">
      <alignment vertical="center" wrapText="1"/>
    </xf>
    <xf numFmtId="178" fontId="126" fillId="0" borderId="112" xfId="0" applyNumberFormat="1" applyFont="1" applyBorder="1" applyAlignment="1">
      <alignment vertical="center" wrapText="1"/>
    </xf>
    <xf numFmtId="0" fontId="34" fillId="66" borderId="6" xfId="0" applyFont="1" applyFill="1" applyBorder="1" applyAlignment="1" applyProtection="1">
      <alignment horizontal="center" vertical="center" wrapText="1"/>
      <protection locked="0"/>
    </xf>
    <xf numFmtId="0" fontId="34" fillId="66" borderId="123" xfId="0" applyFont="1" applyFill="1" applyBorder="1" applyAlignment="1" applyProtection="1">
      <alignment horizontal="center" vertical="center" wrapText="1"/>
      <protection locked="0"/>
    </xf>
    <xf numFmtId="14" fontId="34" fillId="66" borderId="23" xfId="0" applyNumberFormat="1" applyFont="1" applyFill="1" applyBorder="1" applyAlignment="1" applyProtection="1">
      <alignment horizontal="center" vertical="center" wrapText="1"/>
      <protection locked="0"/>
    </xf>
    <xf numFmtId="0" fontId="126" fillId="0" borderId="51" xfId="0" applyFont="1" applyBorder="1" applyAlignment="1">
      <alignment vertical="center" wrapText="1"/>
    </xf>
    <xf numFmtId="0" fontId="0" fillId="67" borderId="127" xfId="0" applyFill="1" applyBorder="1" applyAlignment="1">
      <alignment horizontal="justify" vertical="center" wrapText="1"/>
    </xf>
    <xf numFmtId="0" fontId="0" fillId="67" borderId="121" xfId="0" applyFill="1" applyBorder="1" applyAlignment="1">
      <alignment horizontal="justify" vertical="center" wrapText="1"/>
    </xf>
    <xf numFmtId="0" fontId="0" fillId="67" borderId="122" xfId="0" applyFill="1" applyBorder="1" applyAlignment="1">
      <alignment horizontal="justify" vertical="center" wrapText="1"/>
    </xf>
    <xf numFmtId="0" fontId="0" fillId="67" borderId="128" xfId="0" applyFill="1" applyBorder="1" applyAlignment="1">
      <alignment horizontal="justify" vertical="center" wrapText="1"/>
    </xf>
    <xf numFmtId="167" fontId="1" fillId="24" borderId="27" xfId="1" applyFont="1" applyFill="1" applyBorder="1"/>
    <xf numFmtId="167" fontId="1" fillId="24" borderId="2" xfId="1" applyFont="1" applyFill="1" applyBorder="1"/>
    <xf numFmtId="167" fontId="1" fillId="24" borderId="30" xfId="1" applyFont="1" applyFill="1" applyBorder="1"/>
    <xf numFmtId="167" fontId="1" fillId="24" borderId="1" xfId="1" applyFont="1" applyFill="1" applyBorder="1"/>
    <xf numFmtId="167" fontId="1" fillId="24" borderId="52" xfId="1" applyFont="1" applyFill="1" applyBorder="1"/>
    <xf numFmtId="167" fontId="1" fillId="24" borderId="36" xfId="1" applyFont="1" applyFill="1" applyBorder="1"/>
    <xf numFmtId="167" fontId="1" fillId="35" borderId="59" xfId="1" applyFont="1" applyFill="1" applyBorder="1"/>
    <xf numFmtId="167" fontId="1" fillId="35" borderId="59" xfId="0" applyNumberFormat="1" applyFont="1" applyFill="1" applyBorder="1"/>
    <xf numFmtId="167" fontId="1" fillId="35" borderId="60" xfId="0" applyNumberFormat="1" applyFont="1" applyFill="1" applyBorder="1"/>
    <xf numFmtId="167" fontId="1" fillId="24" borderId="54" xfId="1" applyFont="1" applyFill="1" applyBorder="1"/>
    <xf numFmtId="190" fontId="1" fillId="35" borderId="59" xfId="0" applyNumberFormat="1" applyFont="1" applyFill="1" applyBorder="1"/>
    <xf numFmtId="0" fontId="31" fillId="35" borderId="94" xfId="0" applyFont="1" applyFill="1" applyBorder="1" applyAlignment="1">
      <alignment horizontal="center" vertical="center" wrapText="1"/>
    </xf>
    <xf numFmtId="167" fontId="1" fillId="24" borderId="37" xfId="1" applyFont="1" applyFill="1" applyBorder="1"/>
    <xf numFmtId="167" fontId="1" fillId="35" borderId="94" xfId="0" applyNumberFormat="1" applyFont="1" applyFill="1" applyBorder="1"/>
    <xf numFmtId="190" fontId="1" fillId="24" borderId="43" xfId="0" applyNumberFormat="1" applyFont="1" applyFill="1" applyBorder="1"/>
    <xf numFmtId="190" fontId="1" fillId="35" borderId="94" xfId="0" applyNumberFormat="1" applyFont="1" applyFill="1" applyBorder="1"/>
    <xf numFmtId="167" fontId="1" fillId="24" borderId="28" xfId="1" applyFont="1" applyFill="1" applyBorder="1"/>
    <xf numFmtId="167" fontId="1" fillId="35" borderId="60" xfId="1" applyFont="1" applyFill="1" applyBorder="1"/>
    <xf numFmtId="0" fontId="31" fillId="35" borderId="51" xfId="0" applyFont="1" applyFill="1" applyBorder="1" applyAlignment="1">
      <alignment horizontal="center" vertical="center" wrapText="1"/>
    </xf>
    <xf numFmtId="167" fontId="1" fillId="24" borderId="17" xfId="1" applyFont="1" applyFill="1" applyBorder="1"/>
    <xf numFmtId="167" fontId="1" fillId="35" borderId="51" xfId="0" applyNumberFormat="1" applyFont="1" applyFill="1" applyBorder="1"/>
    <xf numFmtId="167" fontId="1" fillId="24" borderId="10" xfId="1" applyFont="1" applyFill="1" applyBorder="1"/>
    <xf numFmtId="167" fontId="1" fillId="24" borderId="63" xfId="1" applyFont="1" applyFill="1" applyBorder="1"/>
    <xf numFmtId="167" fontId="1" fillId="24" borderId="67" xfId="1" applyFont="1" applyFill="1" applyBorder="1"/>
    <xf numFmtId="167" fontId="1" fillId="35" borderId="58" xfId="0" applyNumberFormat="1" applyFont="1" applyFill="1" applyBorder="1"/>
    <xf numFmtId="0" fontId="15" fillId="63" borderId="71" xfId="0" applyFont="1" applyFill="1" applyBorder="1" applyAlignment="1">
      <alignment horizontal="center" vertical="center"/>
    </xf>
    <xf numFmtId="0" fontId="0" fillId="24" borderId="13" xfId="0" applyFill="1" applyBorder="1" applyAlignment="1">
      <alignment horizontal="justify" vertical="center" wrapText="1"/>
    </xf>
    <xf numFmtId="0" fontId="0" fillId="24" borderId="61" xfId="0" applyFill="1" applyBorder="1" applyAlignment="1">
      <alignment horizontal="justify" vertical="center" wrapText="1"/>
    </xf>
    <xf numFmtId="0" fontId="0" fillId="24" borderId="18" xfId="0" applyFill="1" applyBorder="1" applyAlignment="1">
      <alignment horizontal="justify" vertical="center" wrapText="1"/>
    </xf>
    <xf numFmtId="0" fontId="0" fillId="24" borderId="15" xfId="0" applyFill="1" applyBorder="1" applyAlignment="1">
      <alignment horizontal="justify" vertical="center" wrapText="1"/>
    </xf>
    <xf numFmtId="0" fontId="14" fillId="35" borderId="71" xfId="0" applyFont="1" applyFill="1" applyBorder="1" applyAlignment="1">
      <alignment horizontal="left" vertical="center" wrapText="1"/>
    </xf>
    <xf numFmtId="167" fontId="1" fillId="24" borderId="26" xfId="1" applyFont="1" applyFill="1" applyBorder="1"/>
    <xf numFmtId="167" fontId="1" fillId="24" borderId="29" xfId="1" applyFont="1" applyFill="1" applyBorder="1"/>
    <xf numFmtId="167" fontId="1" fillId="24" borderId="70" xfId="1" applyFont="1" applyFill="1" applyBorder="1"/>
    <xf numFmtId="167" fontId="1" fillId="35" borderId="58" xfId="1" applyFont="1" applyFill="1" applyBorder="1"/>
    <xf numFmtId="167" fontId="0" fillId="24" borderId="37" xfId="1" applyFont="1" applyFill="1" applyBorder="1"/>
    <xf numFmtId="167" fontId="0" fillId="35" borderId="94" xfId="0" applyNumberFormat="1" applyFill="1" applyBorder="1"/>
    <xf numFmtId="190" fontId="0" fillId="24" borderId="43" xfId="0" applyNumberFormat="1" applyFill="1" applyBorder="1"/>
    <xf numFmtId="167" fontId="0" fillId="24" borderId="26" xfId="1" applyFont="1" applyFill="1" applyBorder="1"/>
    <xf numFmtId="167" fontId="0" fillId="24" borderId="28" xfId="1" applyFont="1" applyFill="1" applyBorder="1"/>
    <xf numFmtId="167" fontId="0" fillId="24" borderId="29" xfId="1" applyFont="1" applyFill="1" applyBorder="1"/>
    <xf numFmtId="167" fontId="0" fillId="24" borderId="70" xfId="1" applyFont="1" applyFill="1" applyBorder="1"/>
    <xf numFmtId="167" fontId="0" fillId="35" borderId="58" xfId="1" applyFont="1" applyFill="1" applyBorder="1"/>
    <xf numFmtId="167" fontId="0" fillId="35" borderId="60" xfId="1" applyFont="1" applyFill="1" applyBorder="1"/>
    <xf numFmtId="167" fontId="0" fillId="24" borderId="17" xfId="1" applyFont="1" applyFill="1" applyBorder="1"/>
    <xf numFmtId="167" fontId="0" fillId="35" borderId="51" xfId="0" applyNumberFormat="1" applyFill="1" applyBorder="1"/>
    <xf numFmtId="167" fontId="0" fillId="24" borderId="10" xfId="1" applyFont="1" applyFill="1" applyBorder="1"/>
    <xf numFmtId="167" fontId="0" fillId="24" borderId="62" xfId="1" applyFont="1" applyFill="1" applyBorder="1"/>
    <xf numFmtId="167" fontId="0" fillId="24" borderId="142" xfId="1" applyFont="1" applyFill="1" applyBorder="1"/>
    <xf numFmtId="167" fontId="118" fillId="20" borderId="0" xfId="0" applyNumberFormat="1" applyFont="1" applyFill="1" applyAlignment="1">
      <alignment horizontal="center" vertical="center"/>
    </xf>
    <xf numFmtId="0" fontId="126" fillId="24" borderId="119" xfId="0" applyFont="1" applyFill="1" applyBorder="1" applyAlignment="1">
      <alignment horizontal="center" vertical="center" wrapText="1"/>
    </xf>
    <xf numFmtId="169" fontId="128" fillId="0" borderId="9" xfId="0" applyNumberFormat="1" applyFont="1" applyBorder="1" applyAlignment="1">
      <alignment vertical="center" wrapText="1"/>
    </xf>
    <xf numFmtId="169" fontId="128" fillId="0" borderId="14" xfId="0" applyNumberFormat="1" applyFont="1" applyBorder="1" applyAlignment="1">
      <alignment vertical="center" wrapText="1"/>
    </xf>
    <xf numFmtId="169" fontId="128" fillId="0" borderId="14" xfId="1" applyNumberFormat="1" applyFont="1" applyFill="1" applyBorder="1" applyAlignment="1">
      <alignment vertical="center" wrapText="1"/>
    </xf>
    <xf numFmtId="169" fontId="128" fillId="0" borderId="31" xfId="1" applyNumberFormat="1" applyFont="1" applyFill="1" applyBorder="1" applyAlignment="1">
      <alignment vertical="center" wrapText="1"/>
    </xf>
    <xf numFmtId="169" fontId="128" fillId="35" borderId="4" xfId="1" applyNumberFormat="1" applyFont="1" applyFill="1" applyBorder="1" applyAlignment="1">
      <alignment vertical="center" wrapText="1"/>
    </xf>
    <xf numFmtId="0" fontId="0" fillId="35" borderId="4" xfId="0" applyFill="1" applyBorder="1"/>
    <xf numFmtId="167" fontId="34" fillId="62" borderId="4" xfId="1" applyFont="1" applyFill="1" applyBorder="1" applyAlignment="1" applyProtection="1">
      <alignment horizontal="center" vertical="center" wrapText="1"/>
      <protection locked="0"/>
    </xf>
    <xf numFmtId="0" fontId="13" fillId="0" borderId="92" xfId="0" applyFont="1" applyBorder="1" applyAlignment="1">
      <alignment vertical="center" wrapText="1"/>
    </xf>
    <xf numFmtId="49" fontId="0" fillId="0" borderId="0" xfId="0" applyNumberFormat="1"/>
    <xf numFmtId="0" fontId="130" fillId="20" borderId="4" xfId="0" applyFont="1" applyFill="1" applyBorder="1" applyAlignment="1">
      <alignment horizontal="center" vertical="center"/>
    </xf>
    <xf numFmtId="0" fontId="130" fillId="20" borderId="51" xfId="0" applyFont="1" applyFill="1" applyBorder="1" applyAlignment="1">
      <alignment horizontal="center" vertical="center"/>
    </xf>
    <xf numFmtId="0" fontId="13" fillId="20" borderId="151" xfId="0" applyFont="1" applyFill="1" applyBorder="1" applyAlignment="1">
      <alignment horizontal="center" vertical="center"/>
    </xf>
    <xf numFmtId="0" fontId="13" fillId="20" borderId="147" xfId="0" applyFont="1" applyFill="1" applyBorder="1" applyAlignment="1">
      <alignment horizontal="center" vertical="center"/>
    </xf>
    <xf numFmtId="0" fontId="13" fillId="62" borderId="151" xfId="0" applyFont="1" applyFill="1" applyBorder="1" applyAlignment="1">
      <alignment horizontal="center" vertical="center"/>
    </xf>
    <xf numFmtId="0" fontId="13" fillId="62" borderId="149" xfId="0" applyFont="1" applyFill="1" applyBorder="1" applyAlignment="1">
      <alignment horizontal="center" vertical="center"/>
    </xf>
    <xf numFmtId="0" fontId="100" fillId="53" borderId="24" xfId="0" applyFont="1" applyFill="1" applyBorder="1"/>
    <xf numFmtId="0" fontId="100" fillId="53" borderId="5" xfId="0" applyFont="1" applyFill="1" applyBorder="1"/>
    <xf numFmtId="0" fontId="100" fillId="53" borderId="23" xfId="0" applyFont="1" applyFill="1" applyBorder="1"/>
    <xf numFmtId="0" fontId="13" fillId="20" borderId="149" xfId="0" applyFont="1" applyFill="1" applyBorder="1" applyAlignment="1">
      <alignment horizontal="center" vertical="center"/>
    </xf>
    <xf numFmtId="0" fontId="90" fillId="20" borderId="153" xfId="0" applyFont="1" applyFill="1" applyBorder="1" applyAlignment="1">
      <alignment vertical="center"/>
    </xf>
    <xf numFmtId="0" fontId="90" fillId="20" borderId="154" xfId="0" applyFont="1" applyFill="1" applyBorder="1" applyAlignment="1">
      <alignment vertical="center"/>
    </xf>
    <xf numFmtId="0" fontId="90" fillId="20" borderId="155" xfId="0" applyFont="1" applyFill="1" applyBorder="1" applyAlignment="1">
      <alignment vertical="center"/>
    </xf>
    <xf numFmtId="0" fontId="16" fillId="20" borderId="151" xfId="0" applyFont="1" applyFill="1" applyBorder="1" applyAlignment="1">
      <alignment horizontal="center" vertical="center"/>
    </xf>
    <xf numFmtId="0" fontId="16" fillId="20" borderId="147" xfId="0" applyFont="1" applyFill="1" applyBorder="1" applyAlignment="1">
      <alignment horizontal="center" vertical="center"/>
    </xf>
    <xf numFmtId="0" fontId="16" fillId="20" borderId="152" xfId="0" applyFont="1" applyFill="1" applyBorder="1" applyAlignment="1">
      <alignment horizontal="center" vertical="center"/>
    </xf>
    <xf numFmtId="0" fontId="131" fillId="20" borderId="149" xfId="0" applyFont="1" applyFill="1" applyBorder="1" applyAlignment="1">
      <alignment horizontal="center" vertical="center"/>
    </xf>
    <xf numFmtId="0" fontId="118" fillId="62" borderId="1" xfId="0" applyFont="1" applyFill="1" applyBorder="1" applyAlignment="1" applyProtection="1">
      <alignment vertical="center" wrapText="1"/>
      <protection locked="0"/>
    </xf>
    <xf numFmtId="0" fontId="0" fillId="31" borderId="107" xfId="0" applyFill="1" applyBorder="1" applyAlignment="1">
      <alignment vertical="center"/>
    </xf>
    <xf numFmtId="0" fontId="13" fillId="62" borderId="4" xfId="0" applyFont="1" applyFill="1" applyBorder="1" applyAlignment="1">
      <alignment horizontal="center" vertical="center"/>
    </xf>
    <xf numFmtId="0" fontId="16" fillId="20" borderId="4" xfId="0" applyFont="1" applyFill="1" applyBorder="1" applyAlignment="1">
      <alignment horizontal="center" vertical="center"/>
    </xf>
    <xf numFmtId="0" fontId="90" fillId="20" borderId="71" xfId="0" applyFont="1" applyFill="1" applyBorder="1" applyAlignment="1">
      <alignment vertical="center"/>
    </xf>
    <xf numFmtId="0" fontId="90" fillId="20" borderId="50" xfId="0" applyFont="1" applyFill="1" applyBorder="1" applyAlignment="1">
      <alignment vertical="center"/>
    </xf>
    <xf numFmtId="0" fontId="90" fillId="20" borderId="51" xfId="0" applyFont="1" applyFill="1" applyBorder="1" applyAlignment="1">
      <alignment vertical="center"/>
    </xf>
    <xf numFmtId="169" fontId="128" fillId="0" borderId="4" xfId="0" applyNumberFormat="1" applyFont="1" applyBorder="1" applyAlignment="1">
      <alignment vertical="center" wrapText="1"/>
    </xf>
    <xf numFmtId="0" fontId="133" fillId="64" borderId="58" xfId="0" applyFont="1" applyFill="1" applyBorder="1" applyAlignment="1">
      <alignment vertical="center"/>
    </xf>
    <xf numFmtId="0" fontId="133" fillId="64" borderId="59" xfId="0" applyFont="1" applyFill="1" applyBorder="1" applyAlignment="1">
      <alignment vertical="center"/>
    </xf>
    <xf numFmtId="0" fontId="133" fillId="64" borderId="107" xfId="0" applyFont="1" applyFill="1" applyBorder="1" applyAlignment="1">
      <alignment vertical="center"/>
    </xf>
    <xf numFmtId="0" fontId="133" fillId="64" borderId="60" xfId="0" applyFont="1" applyFill="1" applyBorder="1" applyAlignment="1">
      <alignment vertical="center"/>
    </xf>
    <xf numFmtId="0" fontId="133" fillId="64" borderId="4" xfId="0" applyFont="1" applyFill="1" applyBorder="1"/>
    <xf numFmtId="0" fontId="134" fillId="35" borderId="58" xfId="0" applyFont="1" applyFill="1" applyBorder="1" applyAlignment="1">
      <alignment horizontal="left" vertical="center" wrapText="1"/>
    </xf>
    <xf numFmtId="196" fontId="48" fillId="63" borderId="94" xfId="0" applyNumberFormat="1" applyFont="1" applyFill="1" applyBorder="1" applyAlignment="1">
      <alignment horizontal="center" vertical="center"/>
    </xf>
    <xf numFmtId="196" fontId="48" fillId="63" borderId="60" xfId="0" applyNumberFormat="1" applyFont="1" applyFill="1" applyBorder="1" applyAlignment="1">
      <alignment horizontal="center" vertical="center"/>
    </xf>
    <xf numFmtId="0" fontId="48" fillId="63" borderId="51" xfId="0" applyFont="1" applyFill="1" applyBorder="1" applyAlignment="1">
      <alignment horizontal="center" vertical="center"/>
    </xf>
    <xf numFmtId="0" fontId="48" fillId="63" borderId="58" xfId="0" applyFont="1" applyFill="1" applyBorder="1" applyAlignment="1">
      <alignment horizontal="center" vertical="center"/>
    </xf>
    <xf numFmtId="0" fontId="48" fillId="63" borderId="59" xfId="0" applyFont="1" applyFill="1" applyBorder="1" applyAlignment="1">
      <alignment horizontal="center" vertical="center"/>
    </xf>
    <xf numFmtId="0" fontId="134" fillId="35" borderId="4" xfId="0" applyFont="1" applyFill="1" applyBorder="1"/>
    <xf numFmtId="169" fontId="135" fillId="35" borderId="4" xfId="1" applyNumberFormat="1" applyFont="1" applyFill="1" applyBorder="1" applyAlignment="1">
      <alignment vertical="center" wrapText="1"/>
    </xf>
    <xf numFmtId="0" fontId="130" fillId="20" borderId="6" xfId="0" applyFont="1" applyFill="1" applyBorder="1" applyAlignment="1">
      <alignment horizontal="center" vertical="center"/>
    </xf>
    <xf numFmtId="0" fontId="13" fillId="62" borderId="22" xfId="0" applyFont="1" applyFill="1" applyBorder="1" applyAlignment="1">
      <alignment horizontal="center" vertical="center"/>
    </xf>
    <xf numFmtId="167" fontId="0" fillId="31" borderId="59" xfId="1" applyFont="1" applyFill="1" applyBorder="1" applyAlignment="1">
      <alignment vertical="center"/>
    </xf>
    <xf numFmtId="0" fontId="16" fillId="20" borderId="0" xfId="0" applyFont="1" applyFill="1" applyAlignment="1">
      <alignment horizontal="center" vertical="center"/>
    </xf>
    <xf numFmtId="1" fontId="16" fillId="20" borderId="0" xfId="0" applyNumberFormat="1" applyFont="1" applyFill="1" applyAlignment="1">
      <alignment horizontal="center" vertical="center"/>
    </xf>
    <xf numFmtId="0" fontId="137" fillId="0" borderId="1" xfId="0" applyFont="1" applyBorder="1" applyAlignment="1">
      <alignment vertical="center" wrapText="1"/>
    </xf>
    <xf numFmtId="49" fontId="137" fillId="0" borderId="1" xfId="0" applyNumberFormat="1" applyFont="1" applyBorder="1" applyAlignment="1">
      <alignment horizontal="center" vertical="center" wrapText="1"/>
    </xf>
    <xf numFmtId="49" fontId="137" fillId="0" borderId="1" xfId="0" applyNumberFormat="1" applyFont="1" applyBorder="1" applyAlignment="1">
      <alignment horizontal="center"/>
    </xf>
    <xf numFmtId="49" fontId="137" fillId="24" borderId="1" xfId="0" applyNumberFormat="1" applyFont="1" applyFill="1" applyBorder="1" applyAlignment="1">
      <alignment horizontal="center"/>
    </xf>
    <xf numFmtId="0" fontId="137" fillId="24" borderId="1" xfId="0" applyFont="1" applyFill="1" applyBorder="1"/>
    <xf numFmtId="0" fontId="129" fillId="0" borderId="26" xfId="0" applyFont="1" applyBorder="1" applyAlignment="1">
      <alignment vertical="center"/>
    </xf>
    <xf numFmtId="0" fontId="137" fillId="0" borderId="27" xfId="0" applyFont="1" applyBorder="1" applyAlignment="1">
      <alignment vertical="center" wrapText="1"/>
    </xf>
    <xf numFmtId="49" fontId="137" fillId="0" borderId="27" xfId="0" applyNumberFormat="1" applyFont="1" applyBorder="1" applyAlignment="1">
      <alignment horizontal="center" vertical="center" wrapText="1"/>
    </xf>
    <xf numFmtId="49" fontId="137" fillId="0" borderId="27" xfId="0" applyNumberFormat="1" applyFont="1" applyBorder="1" applyAlignment="1">
      <alignment horizontal="center"/>
    </xf>
    <xf numFmtId="49" fontId="137" fillId="24" borderId="27" xfId="0" applyNumberFormat="1" applyFont="1" applyFill="1" applyBorder="1" applyAlignment="1">
      <alignment horizontal="center"/>
    </xf>
    <xf numFmtId="0" fontId="129" fillId="0" borderId="29" xfId="0" applyFont="1" applyBorder="1" applyAlignment="1">
      <alignment vertical="center"/>
    </xf>
    <xf numFmtId="0" fontId="129" fillId="0" borderId="32" xfId="0" applyFont="1" applyBorder="1" applyAlignment="1">
      <alignment vertical="center"/>
    </xf>
    <xf numFmtId="0" fontId="0" fillId="0" borderId="33" xfId="0" applyBorder="1"/>
    <xf numFmtId="0" fontId="137" fillId="0" borderId="58" xfId="0" applyFont="1" applyBorder="1" applyAlignment="1">
      <alignment horizontal="center" vertical="center" wrapText="1"/>
    </xf>
    <xf numFmtId="0" fontId="137" fillId="0" borderId="59" xfId="0" applyFont="1" applyBorder="1" applyAlignment="1">
      <alignment horizontal="center" vertical="center" wrapText="1"/>
    </xf>
    <xf numFmtId="0" fontId="137" fillId="24" borderId="59" xfId="0" applyFont="1" applyFill="1" applyBorder="1" applyAlignment="1">
      <alignment horizontal="center" vertical="center"/>
    </xf>
    <xf numFmtId="0" fontId="137" fillId="24" borderId="60" xfId="0" applyFont="1" applyFill="1" applyBorder="1" applyAlignment="1">
      <alignment horizontal="center" vertical="center"/>
    </xf>
    <xf numFmtId="0" fontId="0" fillId="0" borderId="0" xfId="0" quotePrefix="1"/>
    <xf numFmtId="0" fontId="13" fillId="20" borderId="0" xfId="0" applyFont="1" applyFill="1" applyAlignment="1">
      <alignment horizontal="center" vertical="center"/>
    </xf>
    <xf numFmtId="190" fontId="0" fillId="29" borderId="25" xfId="1" applyNumberFormat="1" applyFont="1" applyFill="1" applyBorder="1" applyAlignment="1">
      <alignment horizontal="center" vertical="center"/>
    </xf>
    <xf numFmtId="190" fontId="0" fillId="29" borderId="14" xfId="1" applyNumberFormat="1" applyFont="1" applyFill="1" applyBorder="1" applyAlignment="1">
      <alignment horizontal="center" vertical="center"/>
    </xf>
    <xf numFmtId="190" fontId="0" fillId="29" borderId="22" xfId="1" applyNumberFormat="1" applyFont="1" applyFill="1" applyBorder="1" applyAlignment="1">
      <alignment horizontal="center" vertical="center"/>
    </xf>
    <xf numFmtId="190" fontId="0" fillId="29" borderId="4" xfId="1" applyNumberFormat="1" applyFont="1" applyFill="1" applyBorder="1" applyAlignment="1">
      <alignment horizontal="center" vertical="center"/>
    </xf>
    <xf numFmtId="190" fontId="0" fillId="29" borderId="31" xfId="1" applyNumberFormat="1" applyFont="1" applyFill="1" applyBorder="1" applyAlignment="1">
      <alignment horizontal="center" vertical="center"/>
    </xf>
    <xf numFmtId="167" fontId="0" fillId="21" borderId="30" xfId="1" applyFont="1" applyFill="1" applyBorder="1"/>
    <xf numFmtId="0" fontId="31" fillId="35" borderId="50" xfId="0" applyFont="1" applyFill="1" applyBorder="1" applyAlignment="1">
      <alignment horizontal="center" vertical="center" wrapText="1"/>
    </xf>
    <xf numFmtId="167" fontId="0" fillId="24" borderId="0" xfId="1" applyFont="1" applyFill="1" applyBorder="1"/>
    <xf numFmtId="167" fontId="0" fillId="35" borderId="0" xfId="0" applyNumberFormat="1" applyFill="1"/>
    <xf numFmtId="0" fontId="89" fillId="0" borderId="0" xfId="0" applyFont="1" applyAlignment="1">
      <alignment horizontal="center" vertical="center"/>
    </xf>
    <xf numFmtId="167" fontId="0" fillId="60" borderId="51" xfId="0" applyNumberFormat="1" applyFill="1" applyBorder="1"/>
    <xf numFmtId="0" fontId="0" fillId="22" borderId="0" xfId="0" applyFill="1"/>
    <xf numFmtId="0" fontId="138" fillId="0" borderId="0" xfId="0" applyFont="1"/>
    <xf numFmtId="0" fontId="138" fillId="22" borderId="0" xfId="0" applyFont="1" applyFill="1"/>
    <xf numFmtId="169" fontId="128" fillId="0" borderId="14" xfId="1" applyNumberFormat="1" applyFont="1" applyBorder="1" applyAlignment="1">
      <alignment vertical="center" wrapText="1"/>
    </xf>
    <xf numFmtId="0" fontId="34" fillId="66" borderId="165" xfId="0" applyFont="1" applyFill="1" applyBorder="1" applyAlignment="1" applyProtection="1">
      <alignment horizontal="center" vertical="center" wrapText="1"/>
      <protection locked="0"/>
    </xf>
    <xf numFmtId="0" fontId="34" fillId="66" borderId="166" xfId="0" applyFont="1" applyFill="1" applyBorder="1" applyAlignment="1" applyProtection="1">
      <alignment horizontal="center" vertical="center" wrapText="1"/>
      <protection locked="0"/>
    </xf>
    <xf numFmtId="0" fontId="34" fillId="66" borderId="10" xfId="0" applyFont="1" applyFill="1" applyBorder="1" applyAlignment="1" applyProtection="1">
      <alignment horizontal="center" vertical="center" wrapText="1"/>
      <protection locked="0"/>
    </xf>
    <xf numFmtId="0" fontId="0" fillId="29" borderId="4" xfId="0" applyFill="1" applyBorder="1" applyAlignment="1">
      <alignment horizontal="center"/>
    </xf>
    <xf numFmtId="167" fontId="0" fillId="38" borderId="67" xfId="1" applyFont="1" applyFill="1" applyBorder="1"/>
    <xf numFmtId="167" fontId="0" fillId="38" borderId="54" xfId="1" applyFont="1" applyFill="1" applyBorder="1"/>
    <xf numFmtId="0" fontId="0" fillId="38" borderId="0" xfId="0" applyFill="1"/>
    <xf numFmtId="0" fontId="16" fillId="20" borderId="149" xfId="0" applyFont="1" applyFill="1" applyBorder="1" applyAlignment="1">
      <alignment horizontal="center" vertical="center"/>
    </xf>
    <xf numFmtId="0" fontId="16" fillId="20" borderId="167" xfId="0" applyFont="1" applyFill="1" applyBorder="1" applyAlignment="1">
      <alignment horizontal="center" vertical="center"/>
    </xf>
    <xf numFmtId="0" fontId="90" fillId="20" borderId="162" xfId="0" applyFont="1" applyFill="1" applyBorder="1" applyAlignment="1">
      <alignment vertical="center"/>
    </xf>
    <xf numFmtId="0" fontId="90" fillId="20" borderId="163" xfId="0" applyFont="1" applyFill="1" applyBorder="1" applyAlignment="1">
      <alignment vertical="center"/>
    </xf>
    <xf numFmtId="0" fontId="90" fillId="20" borderId="164" xfId="0" applyFont="1" applyFill="1" applyBorder="1" applyAlignment="1">
      <alignment vertical="center"/>
    </xf>
    <xf numFmtId="208" fontId="0" fillId="0" borderId="0" xfId="0" applyNumberFormat="1"/>
    <xf numFmtId="2" fontId="137" fillId="0" borderId="0" xfId="0" applyNumberFormat="1" applyFont="1"/>
    <xf numFmtId="167" fontId="0" fillId="38" borderId="0" xfId="0" applyNumberFormat="1" applyFill="1"/>
    <xf numFmtId="167" fontId="85" fillId="0" borderId="0" xfId="0" applyNumberFormat="1" applyFont="1"/>
    <xf numFmtId="209" fontId="0" fillId="0" borderId="0" xfId="0" applyNumberFormat="1"/>
    <xf numFmtId="167" fontId="1" fillId="24" borderId="2" xfId="1" quotePrefix="1" applyFont="1" applyFill="1" applyBorder="1"/>
    <xf numFmtId="167" fontId="0" fillId="24" borderId="34" xfId="1" applyFont="1" applyFill="1" applyBorder="1"/>
    <xf numFmtId="0" fontId="14" fillId="35" borderId="4" xfId="0" applyFont="1" applyFill="1" applyBorder="1" applyAlignment="1">
      <alignment horizontal="left" vertical="center" wrapText="1"/>
    </xf>
    <xf numFmtId="0" fontId="14" fillId="35" borderId="32" xfId="0" applyFont="1" applyFill="1" applyBorder="1" applyAlignment="1">
      <alignment horizontal="left" vertical="center" wrapText="1"/>
    </xf>
    <xf numFmtId="0" fontId="14" fillId="35" borderId="70" xfId="0" applyFont="1" applyFill="1" applyBorder="1" applyAlignment="1">
      <alignment horizontal="left" vertical="center" wrapText="1"/>
    </xf>
    <xf numFmtId="167" fontId="0" fillId="21" borderId="0" xfId="0" applyNumberFormat="1" applyFill="1"/>
    <xf numFmtId="0" fontId="14" fillId="24" borderId="0" xfId="0" applyFont="1" applyFill="1"/>
    <xf numFmtId="0" fontId="0" fillId="0" borderId="33" xfId="0" applyBorder="1" applyAlignment="1">
      <alignment horizontal="center"/>
    </xf>
    <xf numFmtId="0" fontId="0" fillId="0" borderId="33" xfId="0" quotePrefix="1" applyBorder="1" applyAlignment="1">
      <alignment horizontal="center"/>
    </xf>
    <xf numFmtId="49" fontId="137" fillId="24" borderId="28" xfId="0" applyNumberFormat="1" applyFont="1" applyFill="1" applyBorder="1"/>
    <xf numFmtId="49" fontId="137" fillId="0" borderId="30" xfId="0" applyNumberFormat="1" applyFont="1" applyBorder="1"/>
    <xf numFmtId="49" fontId="137" fillId="24" borderId="30" xfId="0" applyNumberFormat="1" applyFont="1" applyFill="1" applyBorder="1"/>
    <xf numFmtId="0" fontId="0" fillId="0" borderId="34" xfId="0" quotePrefix="1" applyBorder="1"/>
    <xf numFmtId="49" fontId="137" fillId="0" borderId="33" xfId="0" applyNumberFormat="1" applyFont="1" applyBorder="1" applyAlignment="1">
      <alignment horizontal="center"/>
    </xf>
    <xf numFmtId="10" fontId="0" fillId="21" borderId="35" xfId="2" applyNumberFormat="1" applyFont="1" applyFill="1" applyBorder="1"/>
    <xf numFmtId="167" fontId="0" fillId="0" borderId="35" xfId="1" applyFont="1" applyFill="1" applyBorder="1"/>
    <xf numFmtId="0" fontId="90" fillId="27" borderId="0" xfId="0" applyFont="1" applyFill="1"/>
    <xf numFmtId="0" fontId="117" fillId="0" borderId="0" xfId="0" applyFont="1"/>
    <xf numFmtId="0" fontId="48" fillId="0" borderId="0" xfId="0" applyFont="1"/>
    <xf numFmtId="177" fontId="53" fillId="41" borderId="35" xfId="0" applyNumberFormat="1" applyFont="1" applyFill="1" applyBorder="1" applyAlignment="1">
      <alignment vertical="center"/>
    </xf>
    <xf numFmtId="168" fontId="53" fillId="0" borderId="0" xfId="8" applyFont="1" applyAlignment="1" applyProtection="1">
      <alignment vertical="center"/>
    </xf>
    <xf numFmtId="0" fontId="13" fillId="20" borderId="3" xfId="0" applyFont="1" applyFill="1" applyBorder="1" applyAlignment="1">
      <alignment horizontal="center" vertical="center"/>
    </xf>
    <xf numFmtId="0" fontId="9" fillId="20" borderId="168" xfId="0" applyFont="1" applyFill="1" applyBorder="1" applyAlignment="1">
      <alignment vertical="center"/>
    </xf>
    <xf numFmtId="0" fontId="9" fillId="20" borderId="169" xfId="0" applyFont="1" applyFill="1" applyBorder="1" applyAlignment="1">
      <alignment vertical="center"/>
    </xf>
    <xf numFmtId="0" fontId="9" fillId="20" borderId="170" xfId="0" applyFont="1" applyFill="1" applyBorder="1" applyAlignment="1">
      <alignment vertical="center"/>
    </xf>
    <xf numFmtId="0" fontId="13" fillId="20" borderId="152" xfId="0" applyFont="1" applyFill="1" applyBorder="1" applyAlignment="1">
      <alignment horizontal="center" vertical="center"/>
    </xf>
    <xf numFmtId="0" fontId="90" fillId="62" borderId="171" xfId="0" applyFont="1" applyFill="1" applyBorder="1" applyAlignment="1">
      <alignment horizontal="center" vertical="center"/>
    </xf>
    <xf numFmtId="0" fontId="90" fillId="62" borderId="172" xfId="0" applyFont="1" applyFill="1" applyBorder="1" applyAlignment="1">
      <alignment horizontal="center" vertical="center"/>
    </xf>
    <xf numFmtId="0" fontId="90" fillId="62" borderId="173" xfId="0" applyFont="1" applyFill="1" applyBorder="1" applyAlignment="1">
      <alignment horizontal="center" vertical="center"/>
    </xf>
    <xf numFmtId="167" fontId="16" fillId="34" borderId="23" xfId="1" applyFont="1" applyFill="1" applyBorder="1" applyAlignment="1">
      <alignment vertical="center"/>
    </xf>
    <xf numFmtId="167" fontId="27" fillId="34" borderId="23" xfId="1" applyFont="1" applyFill="1" applyBorder="1" applyAlignment="1">
      <alignment vertical="center"/>
    </xf>
    <xf numFmtId="167" fontId="16" fillId="34" borderId="23" xfId="1" applyFont="1" applyFill="1" applyBorder="1" applyAlignment="1">
      <alignment horizontal="right" vertical="center"/>
    </xf>
    <xf numFmtId="167" fontId="16" fillId="29" borderId="23" xfId="1" applyFont="1" applyFill="1" applyBorder="1" applyAlignment="1">
      <alignment vertical="center"/>
    </xf>
    <xf numFmtId="167" fontId="27" fillId="29" borderId="23" xfId="1" applyFont="1" applyFill="1" applyBorder="1" applyAlignment="1">
      <alignment vertical="center"/>
    </xf>
    <xf numFmtId="167" fontId="13" fillId="29" borderId="23" xfId="1" applyFont="1" applyFill="1" applyBorder="1" applyAlignment="1">
      <alignment horizontal="right" vertical="center"/>
    </xf>
    <xf numFmtId="167" fontId="13" fillId="9" borderId="23" xfId="1" applyFont="1" applyFill="1" applyBorder="1" applyAlignment="1">
      <alignment vertical="center"/>
    </xf>
    <xf numFmtId="167" fontId="16" fillId="34" borderId="10" xfId="1" applyFont="1" applyFill="1" applyBorder="1" applyAlignment="1">
      <alignment vertical="center"/>
    </xf>
    <xf numFmtId="167" fontId="27" fillId="34" borderId="10" xfId="1" applyFont="1" applyFill="1" applyBorder="1" applyAlignment="1">
      <alignment vertical="center"/>
    </xf>
    <xf numFmtId="167" fontId="16" fillId="34" borderId="6" xfId="1" applyFont="1" applyFill="1" applyBorder="1" applyAlignment="1">
      <alignment vertical="center"/>
    </xf>
    <xf numFmtId="167" fontId="27" fillId="34" borderId="6" xfId="1" applyFont="1" applyFill="1" applyBorder="1" applyAlignment="1">
      <alignment vertical="center"/>
    </xf>
    <xf numFmtId="4" fontId="14" fillId="39" borderId="1" xfId="0" applyNumberFormat="1" applyFont="1" applyFill="1" applyBorder="1" applyAlignment="1">
      <alignment horizontal="right" vertical="center"/>
    </xf>
    <xf numFmtId="4" fontId="14" fillId="39" borderId="0" xfId="0" applyNumberFormat="1" applyFont="1" applyFill="1" applyAlignment="1">
      <alignment horizontal="right" vertical="center"/>
    </xf>
    <xf numFmtId="0" fontId="13" fillId="20" borderId="24" xfId="0" applyFont="1" applyFill="1" applyBorder="1" applyAlignment="1">
      <alignment horizontal="center" vertical="center"/>
    </xf>
    <xf numFmtId="0" fontId="16" fillId="20" borderId="5" xfId="0" applyFont="1" applyFill="1" applyBorder="1" applyAlignment="1">
      <alignment horizontal="center" vertical="center"/>
    </xf>
    <xf numFmtId="0" fontId="2" fillId="37" borderId="0" xfId="4" applyFill="1"/>
    <xf numFmtId="0" fontId="2" fillId="61" borderId="1" xfId="4" applyFill="1" applyBorder="1" applyAlignment="1">
      <alignment vertical="center"/>
    </xf>
    <xf numFmtId="167" fontId="2" fillId="0" borderId="35" xfId="1" applyFont="1" applyFill="1" applyBorder="1" applyAlignment="1">
      <alignment vertical="center"/>
    </xf>
    <xf numFmtId="173" fontId="2" fillId="0" borderId="35" xfId="2" applyNumberFormat="1" applyFont="1" applyFill="1" applyBorder="1" applyAlignment="1">
      <alignment vertical="center"/>
    </xf>
    <xf numFmtId="0" fontId="2" fillId="61" borderId="1" xfId="4" applyFill="1" applyBorder="1" applyAlignment="1">
      <alignment horizontal="justify" vertical="center" wrapText="1"/>
    </xf>
    <xf numFmtId="173" fontId="2" fillId="0" borderId="1" xfId="2" applyNumberFormat="1" applyFont="1" applyFill="1" applyBorder="1" applyAlignment="1">
      <alignment vertical="center"/>
    </xf>
    <xf numFmtId="167" fontId="2" fillId="0" borderId="1" xfId="1" applyFont="1" applyFill="1" applyBorder="1" applyAlignment="1">
      <alignment vertical="center"/>
    </xf>
    <xf numFmtId="10" fontId="2" fillId="0" borderId="1" xfId="2" applyNumberFormat="1" applyFont="1" applyFill="1" applyBorder="1" applyAlignment="1">
      <alignment vertical="center"/>
    </xf>
    <xf numFmtId="0" fontId="2" fillId="61" borderId="1" xfId="4" applyFill="1" applyBorder="1" applyAlignment="1">
      <alignment vertical="center" wrapText="1"/>
    </xf>
    <xf numFmtId="0" fontId="14" fillId="72" borderId="0" xfId="0" applyFont="1" applyFill="1" applyAlignment="1">
      <alignment wrapText="1"/>
    </xf>
    <xf numFmtId="0" fontId="14" fillId="0" borderId="0" xfId="0" applyFont="1"/>
    <xf numFmtId="0" fontId="14" fillId="0" borderId="0" xfId="0" applyFont="1" applyAlignment="1">
      <alignment wrapText="1"/>
    </xf>
    <xf numFmtId="0" fontId="0" fillId="72" borderId="0" xfId="0" applyFill="1"/>
    <xf numFmtId="0" fontId="137" fillId="24" borderId="42" xfId="0" applyFont="1" applyFill="1" applyBorder="1" applyAlignment="1">
      <alignment horizontal="center" vertical="center"/>
    </xf>
    <xf numFmtId="0" fontId="137" fillId="0" borderId="0" xfId="0" applyFont="1"/>
    <xf numFmtId="0" fontId="137" fillId="24" borderId="4" xfId="0" applyFont="1" applyFill="1" applyBorder="1" applyAlignment="1">
      <alignment horizontal="center"/>
    </xf>
    <xf numFmtId="4" fontId="0" fillId="0" borderId="4" xfId="0" applyNumberFormat="1" applyBorder="1"/>
    <xf numFmtId="4" fontId="16" fillId="36" borderId="23" xfId="0" applyNumberFormat="1" applyFont="1" applyFill="1" applyBorder="1" applyAlignment="1">
      <alignment vertical="center"/>
    </xf>
    <xf numFmtId="4" fontId="13" fillId="0" borderId="23" xfId="0" applyNumberFormat="1" applyFont="1" applyBorder="1" applyAlignment="1">
      <alignment horizontal="right" vertical="center"/>
    </xf>
    <xf numFmtId="4" fontId="16" fillId="36" borderId="10" xfId="0" applyNumberFormat="1" applyFont="1" applyFill="1" applyBorder="1" applyAlignment="1">
      <alignment vertical="center"/>
    </xf>
    <xf numFmtId="4" fontId="16" fillId="36" borderId="6" xfId="0" applyNumberFormat="1" applyFont="1" applyFill="1" applyBorder="1" applyAlignment="1">
      <alignment vertical="center"/>
    </xf>
    <xf numFmtId="171" fontId="0" fillId="30" borderId="0" xfId="5" applyNumberFormat="1" applyFont="1" applyFill="1" applyBorder="1" applyAlignment="1" applyProtection="1"/>
    <xf numFmtId="171" fontId="0" fillId="30" borderId="10" xfId="5" applyNumberFormat="1" applyFont="1" applyFill="1" applyBorder="1" applyProtection="1"/>
    <xf numFmtId="171" fontId="0" fillId="30" borderId="8" xfId="5" applyNumberFormat="1" applyFont="1" applyFill="1" applyBorder="1" applyProtection="1"/>
    <xf numFmtId="171" fontId="0" fillId="30" borderId="0" xfId="5" applyNumberFormat="1" applyFont="1" applyFill="1" applyBorder="1" applyProtection="1"/>
    <xf numFmtId="164" fontId="11" fillId="30" borderId="29" xfId="16" applyFont="1" applyFill="1" applyBorder="1"/>
    <xf numFmtId="164" fontId="11" fillId="30" borderId="1" xfId="16" applyFont="1" applyFill="1" applyBorder="1"/>
    <xf numFmtId="172" fontId="11" fillId="30" borderId="1" xfId="1" applyNumberFormat="1" applyFont="1" applyFill="1" applyBorder="1" applyProtection="1"/>
    <xf numFmtId="172" fontId="11" fillId="30" borderId="29" xfId="1" applyNumberFormat="1" applyFont="1" applyFill="1" applyBorder="1" applyProtection="1"/>
    <xf numFmtId="0" fontId="14" fillId="72" borderId="71" xfId="0" applyFont="1" applyFill="1" applyBorder="1" applyAlignment="1">
      <alignment wrapText="1"/>
    </xf>
    <xf numFmtId="0" fontId="14" fillId="0" borderId="50" xfId="0" applyFont="1" applyBorder="1"/>
    <xf numFmtId="0" fontId="14" fillId="0" borderId="50" xfId="0" applyFont="1" applyBorder="1" applyAlignment="1">
      <alignment wrapText="1"/>
    </xf>
    <xf numFmtId="0" fontId="14" fillId="0" borderId="51" xfId="0" applyFont="1" applyBorder="1"/>
    <xf numFmtId="0" fontId="14" fillId="72" borderId="50" xfId="0" applyFont="1" applyFill="1" applyBorder="1" applyAlignment="1">
      <alignment wrapText="1"/>
    </xf>
    <xf numFmtId="0" fontId="85" fillId="0" borderId="71" xfId="0" applyFont="1" applyBorder="1"/>
    <xf numFmtId="0" fontId="85" fillId="0" borderId="50" xfId="0" applyFont="1" applyBorder="1"/>
    <xf numFmtId="0" fontId="85" fillId="21" borderId="50" xfId="0" applyFont="1" applyFill="1" applyBorder="1"/>
    <xf numFmtId="0" fontId="115" fillId="29" borderId="51" xfId="0" applyFont="1" applyFill="1" applyBorder="1"/>
    <xf numFmtId="0" fontId="85" fillId="0" borderId="66" xfId="0" applyFont="1" applyBorder="1"/>
    <xf numFmtId="0" fontId="85" fillId="0" borderId="65" xfId="0" applyFont="1" applyBorder="1"/>
    <xf numFmtId="0" fontId="85" fillId="21" borderId="65" xfId="0" applyFont="1" applyFill="1" applyBorder="1"/>
    <xf numFmtId="0" fontId="115" fillId="29" borderId="6" xfId="0" applyFont="1" applyFill="1" applyBorder="1"/>
    <xf numFmtId="0" fontId="85" fillId="0" borderId="24" xfId="0" applyFont="1" applyBorder="1"/>
    <xf numFmtId="0" fontId="85" fillId="0" borderId="5" xfId="0" applyFont="1" applyBorder="1"/>
    <xf numFmtId="0" fontId="85" fillId="21" borderId="5" xfId="0" applyFont="1" applyFill="1" applyBorder="1"/>
    <xf numFmtId="0" fontId="115" fillId="29" borderId="23" xfId="0" applyFont="1" applyFill="1" applyBorder="1"/>
    <xf numFmtId="0" fontId="85" fillId="0" borderId="65" xfId="0" quotePrefix="1" applyFont="1" applyBorder="1"/>
    <xf numFmtId="0" fontId="85" fillId="73" borderId="50" xfId="0" quotePrefix="1" applyFont="1" applyFill="1" applyBorder="1"/>
    <xf numFmtId="14" fontId="85" fillId="0" borderId="50" xfId="0" applyNumberFormat="1" applyFont="1" applyBorder="1"/>
    <xf numFmtId="2" fontId="85" fillId="0" borderId="50" xfId="0" applyNumberFormat="1" applyFont="1" applyBorder="1"/>
    <xf numFmtId="0" fontId="7" fillId="71" borderId="38" xfId="4" applyFont="1" applyFill="1" applyBorder="1" applyAlignment="1">
      <alignment horizontal="left" vertical="center"/>
    </xf>
    <xf numFmtId="0" fontId="7" fillId="71" borderId="35" xfId="4" applyFont="1" applyFill="1" applyBorder="1" applyAlignment="1">
      <alignment horizontal="left" vertical="center"/>
    </xf>
    <xf numFmtId="0" fontId="146" fillId="0" borderId="0" xfId="4" applyFont="1"/>
    <xf numFmtId="173" fontId="2" fillId="30" borderId="35" xfId="2" applyNumberFormat="1" applyFont="1" applyFill="1" applyBorder="1" applyAlignment="1">
      <alignment vertical="center"/>
    </xf>
    <xf numFmtId="9" fontId="2" fillId="0" borderId="0" xfId="2" quotePrefix="1" applyFont="1"/>
    <xf numFmtId="0" fontId="14" fillId="0" borderId="0" xfId="0" applyFont="1" applyAlignment="1">
      <alignment vertical="center" wrapText="1"/>
    </xf>
    <xf numFmtId="0" fontId="147" fillId="0" borderId="0" xfId="0" applyFont="1" applyAlignment="1">
      <alignment horizontal="center" vertical="center"/>
    </xf>
    <xf numFmtId="0" fontId="148" fillId="0" borderId="0" xfId="0" applyFont="1" applyAlignment="1">
      <alignment horizontal="center" vertical="center"/>
    </xf>
    <xf numFmtId="0" fontId="65" fillId="0" borderId="0" xfId="4" applyFont="1"/>
    <xf numFmtId="0" fontId="2" fillId="37" borderId="0" xfId="4" applyFill="1" applyAlignment="1">
      <alignment vertical="center" wrapText="1"/>
    </xf>
    <xf numFmtId="9" fontId="90" fillId="21" borderId="80" xfId="2" applyFont="1" applyFill="1" applyBorder="1" applyAlignment="1">
      <alignment vertical="center"/>
    </xf>
    <xf numFmtId="167" fontId="90" fillId="21" borderId="0" xfId="1" applyFont="1" applyFill="1"/>
    <xf numFmtId="9" fontId="90" fillId="21" borderId="0" xfId="2" applyFont="1" applyFill="1" applyBorder="1"/>
    <xf numFmtId="0" fontId="90" fillId="21" borderId="0" xfId="0" applyFont="1" applyFill="1"/>
    <xf numFmtId="9" fontId="90" fillId="21" borderId="0" xfId="0" applyNumberFormat="1" applyFont="1" applyFill="1"/>
    <xf numFmtId="0" fontId="13" fillId="7" borderId="23" xfId="0" applyFont="1" applyFill="1" applyBorder="1" applyAlignment="1">
      <alignment horizontal="center" vertical="center" wrapText="1"/>
    </xf>
    <xf numFmtId="0" fontId="90" fillId="0" borderId="5" xfId="0" applyFont="1" applyBorder="1"/>
    <xf numFmtId="49" fontId="90" fillId="0" borderId="0" xfId="0" applyNumberFormat="1" applyFont="1"/>
    <xf numFmtId="44" fontId="0" fillId="0" borderId="0" xfId="0" applyNumberFormat="1"/>
    <xf numFmtId="177" fontId="0" fillId="0" borderId="0" xfId="2" applyNumberFormat="1" applyFont="1"/>
    <xf numFmtId="210" fontId="0" fillId="0" borderId="0" xfId="0" applyNumberFormat="1"/>
    <xf numFmtId="0" fontId="111" fillId="0" borderId="0" xfId="0" applyFont="1"/>
    <xf numFmtId="167" fontId="14" fillId="23" borderId="181" xfId="1" applyFont="1" applyFill="1" applyBorder="1"/>
    <xf numFmtId="0" fontId="0" fillId="24" borderId="84" xfId="0" applyFill="1" applyBorder="1"/>
    <xf numFmtId="0" fontId="90" fillId="24" borderId="0" xfId="0" applyFont="1" applyFill="1"/>
    <xf numFmtId="0" fontId="90" fillId="24" borderId="0" xfId="0" applyFont="1" applyFill="1" applyAlignment="1">
      <alignment vertical="center"/>
    </xf>
    <xf numFmtId="172" fontId="90" fillId="24" borderId="0" xfId="1" applyNumberFormat="1" applyFont="1" applyFill="1" applyBorder="1"/>
    <xf numFmtId="0" fontId="97" fillId="24" borderId="0" xfId="0" applyFont="1" applyFill="1" applyAlignment="1">
      <alignment horizontal="center" vertical="center" wrapText="1"/>
    </xf>
    <xf numFmtId="0" fontId="99" fillId="24" borderId="0" xfId="0" applyFont="1" applyFill="1"/>
    <xf numFmtId="173" fontId="100" fillId="24" borderId="0" xfId="2" applyNumberFormat="1" applyFont="1" applyFill="1" applyBorder="1" applyAlignment="1">
      <alignment horizontal="center" vertical="center"/>
    </xf>
    <xf numFmtId="173" fontId="100" fillId="24" borderId="0" xfId="1" applyNumberFormat="1" applyFont="1" applyFill="1" applyBorder="1" applyAlignment="1">
      <alignment horizontal="center" vertical="center"/>
    </xf>
    <xf numFmtId="0" fontId="128" fillId="75" borderId="84" xfId="0" applyFont="1" applyFill="1" applyBorder="1" applyAlignment="1">
      <alignment horizontal="center" vertical="center" wrapText="1"/>
    </xf>
    <xf numFmtId="172" fontId="90" fillId="34" borderId="57" xfId="1" applyNumberFormat="1" applyFont="1" applyFill="1" applyBorder="1"/>
    <xf numFmtId="172" fontId="90" fillId="34" borderId="57" xfId="1" applyNumberFormat="1" applyFont="1" applyFill="1" applyBorder="1" applyAlignment="1">
      <alignment horizontal="center" vertical="center"/>
    </xf>
    <xf numFmtId="0" fontId="128" fillId="76" borderId="84" xfId="0" applyFont="1" applyFill="1" applyBorder="1" applyAlignment="1">
      <alignment horizontal="center" vertical="center"/>
    </xf>
    <xf numFmtId="0" fontId="128" fillId="76" borderId="84" xfId="0" applyFont="1" applyFill="1" applyBorder="1" applyAlignment="1">
      <alignment horizontal="center" vertical="center" wrapText="1"/>
    </xf>
    <xf numFmtId="172" fontId="90" fillId="34" borderId="73" xfId="1" applyNumberFormat="1" applyFont="1" applyFill="1" applyBorder="1" applyAlignment="1">
      <alignment horizontal="center" vertical="center"/>
    </xf>
    <xf numFmtId="0" fontId="91" fillId="77" borderId="4" xfId="0" applyFont="1" applyFill="1" applyBorder="1" applyAlignment="1">
      <alignment horizontal="center" vertical="center" wrapText="1"/>
    </xf>
    <xf numFmtId="0" fontId="0" fillId="24" borderId="0" xfId="0" applyFill="1" applyAlignment="1">
      <alignment wrapText="1"/>
    </xf>
    <xf numFmtId="0" fontId="90" fillId="74" borderId="31" xfId="0" applyFont="1" applyFill="1" applyBorder="1" applyAlignment="1">
      <alignment horizontal="right" vertical="center" wrapText="1"/>
    </xf>
    <xf numFmtId="168" fontId="101" fillId="0" borderId="71" xfId="8" applyFont="1" applyFill="1" applyBorder="1" applyAlignment="1">
      <alignment horizontal="right" vertical="center"/>
    </xf>
    <xf numFmtId="190" fontId="101" fillId="0" borderId="4" xfId="8" applyNumberFormat="1" applyFont="1" applyFill="1" applyBorder="1" applyAlignment="1">
      <alignment vertical="center"/>
    </xf>
    <xf numFmtId="0" fontId="152" fillId="24" borderId="0" xfId="0" applyFont="1" applyFill="1" applyAlignment="1">
      <alignment horizontal="justify" vertical="center" wrapText="1"/>
    </xf>
    <xf numFmtId="0" fontId="155" fillId="24" borderId="27" xfId="0" applyFont="1" applyFill="1" applyBorder="1" applyAlignment="1">
      <alignment horizontal="justify" vertical="center" wrapText="1"/>
    </xf>
    <xf numFmtId="0" fontId="117" fillId="24" borderId="27" xfId="0" applyFont="1" applyFill="1" applyBorder="1" applyAlignment="1">
      <alignment horizontal="justify" vertical="center" wrapText="1"/>
    </xf>
    <xf numFmtId="0" fontId="0" fillId="24" borderId="0" xfId="0" applyFill="1" applyAlignment="1">
      <alignment horizontal="right"/>
    </xf>
    <xf numFmtId="167" fontId="96" fillId="51" borderId="3" xfId="1" applyFont="1" applyFill="1" applyBorder="1" applyAlignment="1">
      <alignment vertical="center" wrapText="1"/>
    </xf>
    <xf numFmtId="173" fontId="159" fillId="21" borderId="0" xfId="2" applyNumberFormat="1" applyFont="1" applyFill="1" applyBorder="1" applyAlignment="1">
      <alignment horizontal="center" vertical="center" wrapText="1"/>
    </xf>
    <xf numFmtId="0" fontId="0" fillId="21" borderId="0" xfId="0" applyFill="1" applyAlignment="1">
      <alignment horizontal="center" vertical="center"/>
    </xf>
    <xf numFmtId="172" fontId="13" fillId="62" borderId="4" xfId="1" applyNumberFormat="1" applyFont="1" applyFill="1" applyBorder="1" applyAlignment="1">
      <alignment horizontal="center" vertical="center" wrapText="1"/>
    </xf>
    <xf numFmtId="172" fontId="90" fillId="62" borderId="4" xfId="1" applyNumberFormat="1" applyFont="1" applyFill="1" applyBorder="1"/>
    <xf numFmtId="167" fontId="90" fillId="62" borderId="4" xfId="1" applyFont="1" applyFill="1" applyBorder="1"/>
    <xf numFmtId="0" fontId="13" fillId="51" borderId="85" xfId="0" applyFont="1" applyFill="1" applyBorder="1" applyAlignment="1">
      <alignment vertical="center"/>
    </xf>
    <xf numFmtId="167" fontId="95" fillId="74" borderId="57" xfId="2" applyNumberFormat="1" applyFont="1" applyFill="1" applyBorder="1" applyAlignment="1">
      <alignment vertical="center" wrapText="1"/>
    </xf>
    <xf numFmtId="0" fontId="128" fillId="75" borderId="84" xfId="0" applyFont="1" applyFill="1" applyBorder="1" applyAlignment="1">
      <alignment horizontal="center" vertical="center"/>
    </xf>
    <xf numFmtId="0" fontId="13" fillId="7" borderId="57" xfId="0" applyFont="1" applyFill="1" applyBorder="1" applyAlignment="1">
      <alignment horizontal="center" vertical="center"/>
    </xf>
    <xf numFmtId="0" fontId="13" fillId="7" borderId="187" xfId="0" applyFont="1" applyFill="1" applyBorder="1" applyAlignment="1">
      <alignment horizontal="center" vertical="center" wrapText="1"/>
    </xf>
    <xf numFmtId="172" fontId="13" fillId="7" borderId="183" xfId="1" applyNumberFormat="1" applyFont="1" applyFill="1" applyBorder="1" applyAlignment="1">
      <alignment horizontal="center" vertical="center" wrapText="1"/>
    </xf>
    <xf numFmtId="0" fontId="13" fillId="7" borderId="183" xfId="0" applyFont="1" applyFill="1" applyBorder="1" applyAlignment="1">
      <alignment horizontal="center" vertical="center" wrapText="1"/>
    </xf>
    <xf numFmtId="0" fontId="90" fillId="11" borderId="188" xfId="0" applyFont="1" applyFill="1" applyBorder="1" applyAlignment="1">
      <alignment vertical="center"/>
    </xf>
    <xf numFmtId="167" fontId="90" fillId="11" borderId="81" xfId="1" applyFont="1" applyFill="1" applyBorder="1" applyAlignment="1">
      <alignment horizontal="center" vertical="center" wrapText="1"/>
    </xf>
    <xf numFmtId="0" fontId="90" fillId="11" borderId="189" xfId="0" applyFont="1" applyFill="1" applyBorder="1" applyAlignment="1">
      <alignment vertical="center"/>
    </xf>
    <xf numFmtId="0" fontId="90" fillId="11" borderId="189" xfId="0" applyFont="1" applyFill="1" applyBorder="1" applyAlignment="1">
      <alignment vertical="center" wrapText="1"/>
    </xf>
    <xf numFmtId="0" fontId="90" fillId="11" borderId="190" xfId="0" applyFont="1" applyFill="1" applyBorder="1" applyAlignment="1">
      <alignment vertical="center" wrapText="1"/>
    </xf>
    <xf numFmtId="167" fontId="90" fillId="11" borderId="84" xfId="1" applyFont="1" applyFill="1" applyBorder="1" applyAlignment="1">
      <alignment horizontal="center" vertical="center" wrapText="1"/>
    </xf>
    <xf numFmtId="0" fontId="90" fillId="11" borderId="191" xfId="0" applyFont="1" applyFill="1" applyBorder="1" applyAlignment="1">
      <alignment horizontal="right" vertical="center"/>
    </xf>
    <xf numFmtId="0" fontId="90" fillId="11" borderId="192" xfId="0" applyFont="1" applyFill="1" applyBorder="1" applyAlignment="1">
      <alignment horizontal="right" vertical="center"/>
    </xf>
    <xf numFmtId="0" fontId="90" fillId="74" borderId="193" xfId="0" applyFont="1" applyFill="1" applyBorder="1" applyAlignment="1">
      <alignment horizontal="right" vertical="center" wrapText="1"/>
    </xf>
    <xf numFmtId="167" fontId="90" fillId="11" borderId="187" xfId="1" applyFont="1" applyFill="1" applyBorder="1" applyAlignment="1">
      <alignment wrapText="1"/>
    </xf>
    <xf numFmtId="167" fontId="90" fillId="34" borderId="81" xfId="1" applyFont="1" applyFill="1" applyBorder="1"/>
    <xf numFmtId="167" fontId="90" fillId="11" borderId="81" xfId="1" applyFont="1" applyFill="1" applyBorder="1" applyAlignment="1">
      <alignment wrapText="1"/>
    </xf>
    <xf numFmtId="167" fontId="90" fillId="34" borderId="84" xfId="1" applyFont="1" applyFill="1" applyBorder="1"/>
    <xf numFmtId="0" fontId="0" fillId="23" borderId="194" xfId="0" applyFill="1" applyBorder="1" applyAlignment="1">
      <alignment vertical="center"/>
    </xf>
    <xf numFmtId="0" fontId="0" fillId="23" borderId="189" xfId="0" applyFill="1" applyBorder="1" applyAlignment="1">
      <alignment vertical="center"/>
    </xf>
    <xf numFmtId="167" fontId="0" fillId="23" borderId="189" xfId="1" applyFont="1" applyFill="1" applyBorder="1" applyAlignment="1">
      <alignment horizontal="center" vertical="center" wrapText="1"/>
    </xf>
    <xf numFmtId="0" fontId="0" fillId="23" borderId="189" xfId="0" applyFill="1" applyBorder="1" applyAlignment="1">
      <alignment vertical="center" wrapText="1"/>
    </xf>
    <xf numFmtId="167" fontId="0" fillId="23" borderId="194" xfId="1" applyFont="1" applyFill="1" applyBorder="1" applyAlignment="1">
      <alignment horizontal="center" vertical="center" wrapText="1"/>
    </xf>
    <xf numFmtId="0" fontId="14" fillId="32" borderId="57" xfId="0" applyFont="1" applyFill="1" applyBorder="1" applyAlignment="1">
      <alignment horizontal="center" vertical="center" wrapText="1"/>
    </xf>
    <xf numFmtId="172" fontId="14" fillId="32" borderId="57" xfId="1" applyNumberFormat="1" applyFont="1" applyFill="1" applyBorder="1" applyAlignment="1">
      <alignment horizontal="center" vertical="center" wrapText="1"/>
    </xf>
    <xf numFmtId="0" fontId="0" fillId="23" borderId="81" xfId="0" applyFill="1" applyBorder="1" applyAlignment="1">
      <alignment vertical="center"/>
    </xf>
    <xf numFmtId="167" fontId="0" fillId="23" borderId="195" xfId="1" applyFont="1" applyFill="1" applyBorder="1" applyAlignment="1">
      <alignment horizontal="center" vertical="center" wrapText="1"/>
    </xf>
    <xf numFmtId="167" fontId="14" fillId="23" borderId="57" xfId="1" applyFont="1" applyFill="1" applyBorder="1"/>
    <xf numFmtId="168" fontId="101" fillId="32" borderId="185" xfId="8" applyFont="1" applyFill="1" applyBorder="1" applyAlignment="1">
      <alignment horizontal="right" vertical="center"/>
    </xf>
    <xf numFmtId="190" fontId="101" fillId="32" borderId="186" xfId="8" applyNumberFormat="1" applyFont="1" applyFill="1" applyBorder="1" applyAlignment="1">
      <alignment vertical="center"/>
    </xf>
    <xf numFmtId="0" fontId="13" fillId="77" borderId="184" xfId="0" applyFont="1" applyFill="1" applyBorder="1" applyAlignment="1">
      <alignment horizontal="right" vertical="center"/>
    </xf>
    <xf numFmtId="167" fontId="13" fillId="77" borderId="82" xfId="1" applyFont="1" applyFill="1" applyBorder="1"/>
    <xf numFmtId="167" fontId="13" fillId="77" borderId="182" xfId="1" applyFont="1" applyFill="1" applyBorder="1"/>
    <xf numFmtId="0" fontId="13" fillId="77" borderId="57" xfId="0" applyFont="1" applyFill="1" applyBorder="1" applyAlignment="1">
      <alignment vertical="center"/>
    </xf>
    <xf numFmtId="0" fontId="85" fillId="24" borderId="0" xfId="0" applyFont="1" applyFill="1" applyAlignment="1">
      <alignment horizontal="right"/>
    </xf>
    <xf numFmtId="0" fontId="85" fillId="24" borderId="0" xfId="0" applyFont="1" applyFill="1"/>
    <xf numFmtId="0" fontId="90" fillId="11" borderId="196" xfId="0" applyFont="1" applyFill="1" applyBorder="1" applyAlignment="1">
      <alignment horizontal="right" vertical="center"/>
    </xf>
    <xf numFmtId="0" fontId="90" fillId="74" borderId="190" xfId="0" applyFont="1" applyFill="1" applyBorder="1" applyAlignment="1">
      <alignment horizontal="right" vertical="center" wrapText="1"/>
    </xf>
    <xf numFmtId="0" fontId="0" fillId="73" borderId="0" xfId="0" applyFill="1"/>
    <xf numFmtId="0" fontId="114" fillId="24" borderId="0" xfId="0" applyFont="1" applyFill="1" applyAlignment="1">
      <alignment vertical="center" wrapText="1"/>
    </xf>
    <xf numFmtId="172" fontId="0" fillId="73" borderId="0" xfId="1" applyNumberFormat="1" applyFont="1" applyFill="1"/>
    <xf numFmtId="0" fontId="14" fillId="23" borderId="184" xfId="0" applyFont="1" applyFill="1" applyBorder="1" applyAlignment="1">
      <alignment horizontal="right" vertical="center"/>
    </xf>
    <xf numFmtId="0" fontId="0" fillId="23" borderId="197" xfId="0" applyFill="1" applyBorder="1" applyAlignment="1">
      <alignment vertical="center"/>
    </xf>
    <xf numFmtId="0" fontId="0" fillId="23" borderId="192" xfId="0" applyFill="1" applyBorder="1" applyAlignment="1">
      <alignment vertical="center"/>
    </xf>
    <xf numFmtId="0" fontId="0" fillId="23" borderId="192" xfId="0" applyFill="1" applyBorder="1" applyAlignment="1">
      <alignment vertical="center" wrapText="1"/>
    </xf>
    <xf numFmtId="0" fontId="0" fillId="23" borderId="193" xfId="0" applyFill="1" applyBorder="1" applyAlignment="1">
      <alignment vertical="center"/>
    </xf>
    <xf numFmtId="164" fontId="0" fillId="23" borderId="187" xfId="16" applyFont="1" applyFill="1" applyBorder="1" applyAlignment="1">
      <alignment vertical="center"/>
    </xf>
    <xf numFmtId="167" fontId="90" fillId="11" borderId="187" xfId="1" applyFont="1" applyFill="1" applyBorder="1" applyAlignment="1">
      <alignment horizontal="center" vertical="center" wrapText="1"/>
    </xf>
    <xf numFmtId="164" fontId="0" fillId="23" borderId="81" xfId="16" applyFont="1" applyFill="1" applyBorder="1" applyAlignment="1">
      <alignment vertical="center"/>
    </xf>
    <xf numFmtId="164" fontId="0" fillId="23" borderId="84" xfId="16" applyFont="1" applyFill="1" applyBorder="1" applyAlignment="1">
      <alignment vertical="center"/>
    </xf>
    <xf numFmtId="0" fontId="13" fillId="7" borderId="57" xfId="0" applyFont="1" applyFill="1" applyBorder="1" applyAlignment="1">
      <alignment horizontal="center" vertical="center" wrapText="1"/>
    </xf>
    <xf numFmtId="9" fontId="90" fillId="23" borderId="80" xfId="2" applyFont="1" applyFill="1" applyBorder="1" applyAlignment="1">
      <alignment vertical="center"/>
    </xf>
    <xf numFmtId="9" fontId="90" fillId="23" borderId="180" xfId="2" applyFont="1" applyFill="1" applyBorder="1" applyAlignment="1">
      <alignment vertical="center"/>
    </xf>
    <xf numFmtId="0" fontId="14" fillId="32" borderId="196" xfId="0" applyFont="1" applyFill="1" applyBorder="1" applyAlignment="1">
      <alignment horizontal="center" vertical="center" wrapText="1"/>
    </xf>
    <xf numFmtId="172" fontId="14" fillId="32" borderId="196" xfId="1" applyNumberFormat="1" applyFont="1" applyFill="1" applyBorder="1" applyAlignment="1">
      <alignment horizontal="center" vertical="center" wrapText="1"/>
    </xf>
    <xf numFmtId="0" fontId="14" fillId="23" borderId="73" xfId="0" applyFont="1" applyFill="1" applyBorder="1" applyAlignment="1">
      <alignment horizontal="right" vertical="center"/>
    </xf>
    <xf numFmtId="164" fontId="0" fillId="23" borderId="189" xfId="16" applyFont="1" applyFill="1" applyBorder="1" applyAlignment="1">
      <alignment vertical="center"/>
    </xf>
    <xf numFmtId="164" fontId="0" fillId="23" borderId="190" xfId="16" applyFont="1" applyFill="1" applyBorder="1" applyAlignment="1">
      <alignment vertical="center"/>
    </xf>
    <xf numFmtId="0" fontId="0" fillId="21" borderId="0" xfId="0" applyFill="1" applyAlignment="1">
      <alignment vertical="center"/>
    </xf>
    <xf numFmtId="211" fontId="4" fillId="0" borderId="0" xfId="12" applyNumberFormat="1"/>
    <xf numFmtId="44" fontId="4" fillId="0" borderId="0" xfId="12" applyNumberFormat="1"/>
    <xf numFmtId="0" fontId="0" fillId="21" borderId="0" xfId="0" applyFill="1" applyAlignment="1">
      <alignment wrapText="1"/>
    </xf>
    <xf numFmtId="0" fontId="14" fillId="21" borderId="0" xfId="0" applyFont="1" applyFill="1"/>
    <xf numFmtId="167" fontId="0" fillId="67" borderId="0" xfId="0" applyNumberFormat="1" applyFill="1"/>
    <xf numFmtId="0" fontId="0" fillId="67" borderId="0" xfId="0" applyFill="1"/>
    <xf numFmtId="9" fontId="0" fillId="0" borderId="0" xfId="2" applyFont="1"/>
    <xf numFmtId="184" fontId="0" fillId="0" borderId="0" xfId="2" applyNumberFormat="1" applyFont="1"/>
    <xf numFmtId="0" fontId="4" fillId="21" borderId="0" xfId="0" applyFont="1" applyFill="1"/>
    <xf numFmtId="2" fontId="4" fillId="21" borderId="0" xfId="12" applyNumberFormat="1" applyFill="1"/>
    <xf numFmtId="14" fontId="4" fillId="78" borderId="0" xfId="12" applyNumberFormat="1" applyFill="1"/>
    <xf numFmtId="0" fontId="4" fillId="78" borderId="0" xfId="12" applyFill="1"/>
    <xf numFmtId="0" fontId="14" fillId="38" borderId="58" xfId="0" applyFont="1" applyFill="1" applyBorder="1" applyAlignment="1" applyProtection="1">
      <alignment horizontal="center" vertical="center" wrapText="1"/>
      <protection locked="0"/>
    </xf>
    <xf numFmtId="0" fontId="14" fillId="38" borderId="59" xfId="0" applyFont="1" applyFill="1" applyBorder="1" applyAlignment="1" applyProtection="1">
      <alignment horizontal="center" vertical="center" wrapText="1"/>
      <protection locked="0"/>
    </xf>
    <xf numFmtId="0" fontId="0" fillId="29" borderId="63" xfId="0" applyFill="1" applyBorder="1" applyAlignment="1" applyProtection="1">
      <alignment horizontal="justify" vertical="center" wrapText="1"/>
      <protection locked="0"/>
    </xf>
    <xf numFmtId="0" fontId="0" fillId="29" borderId="2" xfId="0" applyFill="1" applyBorder="1" applyAlignment="1" applyProtection="1">
      <alignment horizontal="justify" vertical="center" wrapText="1"/>
      <protection locked="0"/>
    </xf>
    <xf numFmtId="0" fontId="0" fillId="29" borderId="2" xfId="0" applyFill="1" applyBorder="1" applyAlignment="1" applyProtection="1">
      <alignment horizontal="center" vertical="center"/>
      <protection locked="0"/>
    </xf>
    <xf numFmtId="0" fontId="0" fillId="29" borderId="2" xfId="0" applyFill="1" applyBorder="1" applyAlignment="1" applyProtection="1">
      <alignment horizontal="center" vertical="center" wrapText="1"/>
      <protection locked="0"/>
    </xf>
    <xf numFmtId="44" fontId="1" fillId="29" borderId="2" xfId="19" applyFont="1" applyFill="1" applyBorder="1" applyAlignment="1" applyProtection="1">
      <alignment horizontal="center" vertical="center"/>
      <protection locked="0"/>
    </xf>
    <xf numFmtId="0" fontId="0" fillId="29" borderId="1" xfId="0" applyFill="1" applyBorder="1" applyAlignment="1" applyProtection="1">
      <alignment horizontal="justify" vertical="center" wrapText="1"/>
      <protection locked="0"/>
    </xf>
    <xf numFmtId="0" fontId="0" fillId="29" borderId="1" xfId="0" applyFill="1" applyBorder="1" applyAlignment="1" applyProtection="1">
      <alignment horizontal="center" vertical="center"/>
      <protection locked="0"/>
    </xf>
    <xf numFmtId="0" fontId="0" fillId="29" borderId="1" xfId="0" applyFill="1" applyBorder="1" applyAlignment="1" applyProtection="1">
      <alignment horizontal="center" vertical="center" wrapText="1"/>
      <protection locked="0"/>
    </xf>
    <xf numFmtId="44" fontId="1" fillId="29" borderId="1" xfId="19" applyFont="1" applyFill="1" applyBorder="1" applyAlignment="1" applyProtection="1">
      <alignment horizontal="justify" vertical="center"/>
      <protection locked="0"/>
    </xf>
    <xf numFmtId="44" fontId="1" fillId="29" borderId="1" xfId="19" applyFont="1" applyFill="1" applyBorder="1" applyAlignment="1" applyProtection="1">
      <alignment horizontal="center" vertical="center"/>
      <protection locked="0"/>
    </xf>
    <xf numFmtId="0" fontId="0" fillId="29" borderId="87" xfId="0" applyFill="1" applyBorder="1" applyAlignment="1" applyProtection="1">
      <alignment horizontal="justify" vertical="center" wrapText="1"/>
      <protection locked="0"/>
    </xf>
    <xf numFmtId="0" fontId="0" fillId="29" borderId="1" xfId="0" applyFill="1" applyBorder="1" applyAlignment="1" applyProtection="1">
      <alignment horizontal="justify" vertical="center"/>
      <protection locked="0"/>
    </xf>
    <xf numFmtId="44" fontId="14" fillId="38" borderId="59" xfId="0" applyNumberFormat="1" applyFont="1" applyFill="1" applyBorder="1" applyAlignment="1" applyProtection="1">
      <alignment horizontal="center" vertical="center" wrapText="1"/>
      <protection locked="0"/>
    </xf>
    <xf numFmtId="0" fontId="14" fillId="38" borderId="71" xfId="0" applyFont="1" applyFill="1" applyBorder="1" applyAlignment="1" applyProtection="1">
      <alignment vertical="center" wrapText="1"/>
      <protection locked="0"/>
    </xf>
    <xf numFmtId="0" fontId="14" fillId="38" borderId="50" xfId="0" applyFont="1" applyFill="1" applyBorder="1" applyAlignment="1" applyProtection="1">
      <alignment vertical="center" wrapText="1"/>
      <protection locked="0"/>
    </xf>
    <xf numFmtId="44" fontId="1" fillId="23" borderId="1" xfId="19" applyFont="1" applyFill="1" applyBorder="1" applyAlignment="1" applyProtection="1">
      <alignment horizontal="center" vertical="center"/>
      <protection locked="0"/>
    </xf>
    <xf numFmtId="0" fontId="14" fillId="58" borderId="60" xfId="0" applyFont="1" applyFill="1" applyBorder="1" applyAlignment="1" applyProtection="1">
      <alignment horizontal="center" vertical="center" wrapText="1"/>
      <protection locked="0"/>
    </xf>
    <xf numFmtId="0" fontId="0" fillId="58" borderId="67" xfId="0" applyFill="1" applyBorder="1" applyAlignment="1" applyProtection="1">
      <alignment horizontal="center" vertical="center"/>
      <protection locked="0"/>
    </xf>
    <xf numFmtId="0" fontId="0" fillId="58" borderId="30" xfId="0" applyFill="1" applyBorder="1" applyAlignment="1" applyProtection="1">
      <alignment horizontal="justify" vertical="center"/>
      <protection locked="0"/>
    </xf>
    <xf numFmtId="167" fontId="117" fillId="74" borderId="81" xfId="1" applyFont="1" applyFill="1" applyBorder="1" applyAlignment="1">
      <alignment vertical="center"/>
    </xf>
    <xf numFmtId="0" fontId="0" fillId="21" borderId="1" xfId="0" applyFill="1" applyBorder="1"/>
    <xf numFmtId="0" fontId="0" fillId="21" borderId="1" xfId="0" applyFill="1" applyBorder="1" applyAlignment="1">
      <alignment wrapText="1"/>
    </xf>
    <xf numFmtId="0" fontId="13" fillId="7" borderId="7" xfId="0" applyFont="1" applyFill="1" applyBorder="1" applyAlignment="1">
      <alignment horizontal="center" vertical="center"/>
    </xf>
    <xf numFmtId="0" fontId="13" fillId="7" borderId="7" xfId="0" applyFont="1" applyFill="1" applyBorder="1" applyAlignment="1">
      <alignment horizontal="center" vertical="center" wrapText="1"/>
    </xf>
    <xf numFmtId="9" fontId="0" fillId="0" borderId="7" xfId="2" applyFont="1" applyBorder="1"/>
    <xf numFmtId="0" fontId="0" fillId="60" borderId="0" xfId="0" applyFill="1"/>
    <xf numFmtId="0" fontId="0" fillId="60" borderId="1" xfId="0" applyFill="1" applyBorder="1"/>
    <xf numFmtId="0" fontId="0" fillId="60" borderId="1" xfId="0" applyFill="1" applyBorder="1" applyAlignment="1">
      <alignment wrapText="1"/>
    </xf>
    <xf numFmtId="0" fontId="14" fillId="60" borderId="7" xfId="0" applyFont="1" applyFill="1" applyBorder="1" applyAlignment="1">
      <alignment horizontal="center" vertical="center" wrapText="1"/>
    </xf>
    <xf numFmtId="0" fontId="0" fillId="60" borderId="0" xfId="0" applyFill="1" applyAlignment="1">
      <alignment vertical="center" wrapText="1"/>
    </xf>
    <xf numFmtId="0" fontId="134" fillId="21" borderId="0" xfId="0" applyFont="1" applyFill="1" applyAlignment="1">
      <alignment horizontal="center" wrapText="1"/>
    </xf>
    <xf numFmtId="0" fontId="160" fillId="21" borderId="0" xfId="0" applyFont="1" applyFill="1"/>
    <xf numFmtId="0" fontId="14" fillId="60" borderId="57" xfId="0" applyFont="1" applyFill="1" applyBorder="1" applyAlignment="1">
      <alignment horizontal="center" vertical="center" wrapText="1"/>
    </xf>
    <xf numFmtId="0" fontId="25" fillId="60" borderId="57" xfId="0" applyFont="1" applyFill="1" applyBorder="1" applyAlignment="1">
      <alignment horizontal="center" vertical="center"/>
    </xf>
    <xf numFmtId="9" fontId="0" fillId="21" borderId="0" xfId="2" applyFont="1" applyFill="1"/>
    <xf numFmtId="167" fontId="0" fillId="21" borderId="0" xfId="1" applyFont="1" applyFill="1"/>
    <xf numFmtId="0" fontId="85" fillId="21" borderId="0" xfId="0" applyFont="1" applyFill="1"/>
    <xf numFmtId="167" fontId="85" fillId="21" borderId="65" xfId="0" applyNumberFormat="1" applyFont="1" applyFill="1" applyBorder="1"/>
    <xf numFmtId="167" fontId="85" fillId="21" borderId="0" xfId="0" applyNumberFormat="1" applyFont="1" applyFill="1"/>
    <xf numFmtId="167" fontId="85" fillId="21" borderId="5" xfId="0" applyNumberFormat="1" applyFont="1" applyFill="1" applyBorder="1"/>
    <xf numFmtId="9" fontId="0" fillId="0" borderId="3" xfId="2" applyFont="1" applyBorder="1"/>
    <xf numFmtId="184" fontId="0" fillId="21" borderId="7" xfId="2" applyNumberFormat="1" applyFont="1" applyFill="1" applyBorder="1"/>
    <xf numFmtId="167" fontId="0" fillId="0" borderId="4" xfId="1" applyFont="1" applyBorder="1" applyAlignment="1">
      <alignment vertical="center"/>
    </xf>
    <xf numFmtId="167" fontId="0" fillId="0" borderId="51" xfId="1" applyFont="1" applyBorder="1" applyAlignment="1">
      <alignment vertical="center"/>
    </xf>
    <xf numFmtId="167" fontId="90" fillId="11" borderId="7" xfId="1" applyFont="1" applyFill="1" applyBorder="1" applyAlignment="1">
      <alignment vertical="center" wrapText="1"/>
    </xf>
    <xf numFmtId="9" fontId="0" fillId="0" borderId="7" xfId="2" applyFont="1" applyBorder="1" applyAlignment="1">
      <alignment vertical="center"/>
    </xf>
    <xf numFmtId="10" fontId="0" fillId="27" borderId="8" xfId="2" applyNumberFormat="1" applyFont="1" applyFill="1" applyBorder="1" applyAlignment="1">
      <alignment vertical="center"/>
    </xf>
    <xf numFmtId="177" fontId="0" fillId="21" borderId="1" xfId="2" applyNumberFormat="1" applyFont="1" applyFill="1" applyBorder="1" applyAlignment="1">
      <alignment horizontal="center" vertical="center"/>
    </xf>
    <xf numFmtId="0" fontId="14" fillId="23" borderId="187" xfId="0" applyFont="1" applyFill="1" applyBorder="1" applyAlignment="1">
      <alignment horizontal="right" vertical="center"/>
    </xf>
    <xf numFmtId="167" fontId="14" fillId="23" borderId="187" xfId="1" applyFont="1" applyFill="1" applyBorder="1"/>
    <xf numFmtId="0" fontId="13" fillId="7" borderId="73" xfId="0" applyFont="1" applyFill="1" applyBorder="1" applyAlignment="1">
      <alignment vertical="center"/>
    </xf>
    <xf numFmtId="167" fontId="90" fillId="79" borderId="81" xfId="1" applyFont="1" applyFill="1" applyBorder="1" applyAlignment="1">
      <alignment vertical="center"/>
    </xf>
    <xf numFmtId="167" fontId="90" fillId="79" borderId="84" xfId="1" applyFont="1" applyFill="1" applyBorder="1" applyAlignment="1">
      <alignment vertical="center"/>
    </xf>
    <xf numFmtId="177" fontId="0" fillId="21" borderId="35" xfId="2" applyNumberFormat="1" applyFont="1" applyFill="1" applyBorder="1" applyAlignment="1">
      <alignment horizontal="center" vertical="center"/>
    </xf>
    <xf numFmtId="0" fontId="0" fillId="0" borderId="35" xfId="0" applyBorder="1"/>
    <xf numFmtId="173" fontId="114" fillId="24" borderId="0" xfId="2" applyNumberFormat="1" applyFont="1" applyFill="1" applyBorder="1" applyAlignment="1">
      <alignment horizontal="center" vertical="center"/>
    </xf>
    <xf numFmtId="0" fontId="132" fillId="24" borderId="0" xfId="0" applyFont="1" applyFill="1" applyAlignment="1">
      <alignment horizontal="center" vertical="center" wrapText="1"/>
    </xf>
    <xf numFmtId="0" fontId="89" fillId="23" borderId="15" xfId="0" applyFont="1" applyFill="1" applyBorder="1" applyAlignment="1">
      <alignment horizontal="right" vertical="center"/>
    </xf>
    <xf numFmtId="9" fontId="89" fillId="23" borderId="4" xfId="2" applyFont="1" applyFill="1" applyBorder="1"/>
    <xf numFmtId="0" fontId="0" fillId="24" borderId="38" xfId="0" applyFill="1" applyBorder="1" applyAlignment="1">
      <alignment horizontal="right" vertical="center" wrapText="1"/>
    </xf>
    <xf numFmtId="0" fontId="110" fillId="27" borderId="1" xfId="0" applyFont="1" applyFill="1" applyBorder="1" applyAlignment="1">
      <alignment horizontal="right" vertical="center"/>
    </xf>
    <xf numFmtId="10" fontId="0" fillId="27" borderId="4" xfId="2" applyNumberFormat="1" applyFont="1" applyFill="1" applyBorder="1" applyAlignment="1">
      <alignment vertical="center"/>
    </xf>
    <xf numFmtId="0" fontId="42" fillId="0" borderId="0" xfId="0" applyFont="1"/>
    <xf numFmtId="0" fontId="14" fillId="59" borderId="36" xfId="7" applyFont="1" applyFill="1" applyBorder="1" applyAlignment="1">
      <alignment horizontal="center" vertical="center"/>
    </xf>
    <xf numFmtId="174" fontId="14" fillId="32" borderId="46" xfId="7" applyNumberFormat="1" applyFont="1" applyFill="1" applyBorder="1" applyAlignment="1">
      <alignment horizontal="center" vertical="center"/>
    </xf>
    <xf numFmtId="174" fontId="14" fillId="32" borderId="47" xfId="7" applyNumberFormat="1" applyFont="1" applyFill="1" applyBorder="1" applyAlignment="1">
      <alignment horizontal="center" vertical="center"/>
    </xf>
    <xf numFmtId="0" fontId="14" fillId="32" borderId="48" xfId="7" applyFont="1" applyFill="1" applyBorder="1" applyAlignment="1">
      <alignment horizontal="center"/>
    </xf>
    <xf numFmtId="0" fontId="14" fillId="32" borderId="49" xfId="7" applyFont="1" applyFill="1" applyBorder="1" applyAlignment="1">
      <alignment horizontal="center"/>
    </xf>
    <xf numFmtId="0" fontId="16" fillId="30" borderId="23" xfId="0" applyFont="1" applyFill="1" applyBorder="1" applyAlignment="1">
      <alignment vertical="center"/>
    </xf>
    <xf numFmtId="0" fontId="37" fillId="30" borderId="23" xfId="0" applyFont="1" applyFill="1" applyBorder="1" applyAlignment="1">
      <alignment vertical="center"/>
    </xf>
    <xf numFmtId="0" fontId="16" fillId="30" borderId="23" xfId="0" applyFont="1" applyFill="1" applyBorder="1" applyAlignment="1">
      <alignment horizontal="right" vertical="center"/>
    </xf>
    <xf numFmtId="0" fontId="28" fillId="0" borderId="0" xfId="20" applyFont="1"/>
    <xf numFmtId="14" fontId="28" fillId="0" borderId="0" xfId="20" applyNumberFormat="1" applyFont="1"/>
    <xf numFmtId="0" fontId="29" fillId="27" borderId="4" xfId="20" applyFont="1" applyFill="1" applyBorder="1" applyAlignment="1">
      <alignment horizontal="center" vertical="center" wrapText="1"/>
    </xf>
    <xf numFmtId="0" fontId="11" fillId="0" borderId="0" xfId="20"/>
    <xf numFmtId="0" fontId="29" fillId="0" borderId="0" xfId="20" applyFont="1" applyAlignment="1">
      <alignment horizontal="center" vertical="center"/>
    </xf>
    <xf numFmtId="0" fontId="28" fillId="0" borderId="5" xfId="20" applyFont="1" applyBorder="1"/>
    <xf numFmtId="0" fontId="30" fillId="21" borderId="4" xfId="20" applyFont="1" applyFill="1" applyBorder="1"/>
    <xf numFmtId="0" fontId="30" fillId="23" borderId="9" xfId="20" applyFont="1" applyFill="1" applyBorder="1"/>
    <xf numFmtId="0" fontId="30" fillId="23" borderId="14" xfId="20" applyFont="1" applyFill="1" applyBorder="1" applyAlignment="1">
      <alignment wrapText="1"/>
    </xf>
    <xf numFmtId="0" fontId="32" fillId="23" borderId="14" xfId="20" applyFont="1" applyFill="1" applyBorder="1"/>
    <xf numFmtId="0" fontId="32" fillId="23" borderId="14" xfId="20" applyFont="1" applyFill="1" applyBorder="1" applyAlignment="1">
      <alignment wrapText="1"/>
    </xf>
    <xf numFmtId="0" fontId="11" fillId="23" borderId="14" xfId="20" applyFill="1" applyBorder="1"/>
    <xf numFmtId="0" fontId="30" fillId="23" borderId="14" xfId="20" applyFont="1" applyFill="1" applyBorder="1"/>
    <xf numFmtId="0" fontId="11" fillId="23" borderId="14" xfId="20" applyFill="1" applyBorder="1" applyAlignment="1">
      <alignment wrapText="1"/>
    </xf>
    <xf numFmtId="0" fontId="30" fillId="23" borderId="22" xfId="20" applyFont="1" applyFill="1" applyBorder="1"/>
    <xf numFmtId="171" fontId="11" fillId="0" borderId="0" xfId="20" quotePrefix="1" applyNumberFormat="1"/>
    <xf numFmtId="0" fontId="29" fillId="0" borderId="0" xfId="20" applyFont="1" applyAlignment="1">
      <alignment horizontal="center" vertical="center" wrapText="1"/>
    </xf>
    <xf numFmtId="0" fontId="11" fillId="24" borderId="25" xfId="20" applyFill="1" applyBorder="1"/>
    <xf numFmtId="44" fontId="11" fillId="0" borderId="26" xfId="19" applyFont="1" applyBorder="1"/>
    <xf numFmtId="44" fontId="11" fillId="0" borderId="27" xfId="19" applyFont="1" applyBorder="1"/>
    <xf numFmtId="44" fontId="11" fillId="0" borderId="28" xfId="19" applyFont="1" applyBorder="1"/>
    <xf numFmtId="0" fontId="11" fillId="24" borderId="14" xfId="20" applyFill="1" applyBorder="1" applyAlignment="1">
      <alignment vertical="center"/>
    </xf>
    <xf numFmtId="44" fontId="11" fillId="0" borderId="29" xfId="19" applyFont="1" applyBorder="1"/>
    <xf numFmtId="44" fontId="11" fillId="0" borderId="1" xfId="19" applyFont="1" applyBorder="1"/>
    <xf numFmtId="44" fontId="11" fillId="0" borderId="30" xfId="19" applyFont="1" applyBorder="1"/>
    <xf numFmtId="0" fontId="11" fillId="24" borderId="14" xfId="20" applyFill="1" applyBorder="1"/>
    <xf numFmtId="0" fontId="33" fillId="24" borderId="14" xfId="20" applyFont="1" applyFill="1" applyBorder="1" applyAlignment="1">
      <alignment horizontal="right" vertical="center"/>
    </xf>
    <xf numFmtId="171" fontId="11" fillId="0" borderId="29" xfId="20" applyNumberFormat="1" applyBorder="1"/>
    <xf numFmtId="171" fontId="11" fillId="0" borderId="1" xfId="20" applyNumberFormat="1" applyBorder="1"/>
    <xf numFmtId="171" fontId="11" fillId="0" borderId="30" xfId="20" applyNumberFormat="1" applyBorder="1"/>
    <xf numFmtId="0" fontId="30" fillId="23" borderId="31" xfId="20" applyFont="1" applyFill="1" applyBorder="1"/>
    <xf numFmtId="0" fontId="14" fillId="24" borderId="14" xfId="20" applyFont="1" applyFill="1" applyBorder="1"/>
    <xf numFmtId="0" fontId="11" fillId="24" borderId="14" xfId="20" applyFill="1" applyBorder="1" applyAlignment="1">
      <alignment horizontal="left" indent="1"/>
    </xf>
    <xf numFmtId="172" fontId="11" fillId="32" borderId="29" xfId="19" applyNumberFormat="1" applyFont="1" applyFill="1" applyBorder="1"/>
    <xf numFmtId="172" fontId="11" fillId="32" borderId="1" xfId="19" applyNumberFormat="1" applyFont="1" applyFill="1" applyBorder="1"/>
    <xf numFmtId="172" fontId="11" fillId="32" borderId="30" xfId="19" applyNumberFormat="1" applyFont="1" applyFill="1" applyBorder="1"/>
    <xf numFmtId="0" fontId="11" fillId="24" borderId="8" xfId="20" applyFill="1" applyBorder="1" applyAlignment="1">
      <alignment horizontal="left" indent="1"/>
    </xf>
    <xf numFmtId="172" fontId="11" fillId="0" borderId="1" xfId="19" applyNumberFormat="1" applyFont="1" applyBorder="1"/>
    <xf numFmtId="172" fontId="11" fillId="0" borderId="30" xfId="19" applyNumberFormat="1" applyFont="1" applyBorder="1"/>
    <xf numFmtId="0" fontId="33" fillId="24" borderId="14" xfId="20" applyFont="1" applyFill="1" applyBorder="1" applyAlignment="1">
      <alignment horizontal="right"/>
    </xf>
    <xf numFmtId="172" fontId="11" fillId="0" borderId="29" xfId="19" applyNumberFormat="1" applyFont="1" applyBorder="1"/>
    <xf numFmtId="0" fontId="14" fillId="24" borderId="22" xfId="20" applyFont="1" applyFill="1" applyBorder="1"/>
    <xf numFmtId="172" fontId="11" fillId="0" borderId="32" xfId="19" applyNumberFormat="1" applyFont="1" applyBorder="1"/>
    <xf numFmtId="172" fontId="11" fillId="0" borderId="33" xfId="19" applyNumberFormat="1" applyFont="1" applyBorder="1"/>
    <xf numFmtId="172" fontId="11" fillId="0" borderId="34" xfId="19" applyNumberFormat="1" applyFont="1" applyBorder="1"/>
    <xf numFmtId="0" fontId="29" fillId="23" borderId="22" xfId="20" applyFont="1" applyFill="1" applyBorder="1"/>
    <xf numFmtId="0" fontId="32" fillId="0" borderId="0" xfId="20" applyFont="1"/>
    <xf numFmtId="0" fontId="16" fillId="21" borderId="3" xfId="0" applyFont="1" applyFill="1" applyBorder="1" applyAlignment="1">
      <alignment vertical="center" wrapText="1"/>
    </xf>
    <xf numFmtId="0" fontId="16" fillId="23" borderId="23" xfId="0" applyFont="1" applyFill="1" applyBorder="1" applyAlignment="1">
      <alignment vertical="center"/>
    </xf>
    <xf numFmtId="0" fontId="37" fillId="23" borderId="23" xfId="0" applyFont="1" applyFill="1" applyBorder="1" applyAlignment="1">
      <alignment vertical="center"/>
    </xf>
    <xf numFmtId="0" fontId="16" fillId="23" borderId="10" xfId="0" applyFont="1" applyFill="1" applyBorder="1" applyAlignment="1">
      <alignment vertical="center"/>
    </xf>
    <xf numFmtId="0" fontId="37" fillId="23" borderId="10" xfId="0" applyFont="1" applyFill="1" applyBorder="1" applyAlignment="1">
      <alignment vertical="center"/>
    </xf>
    <xf numFmtId="0" fontId="16" fillId="23" borderId="6" xfId="0" applyFont="1" applyFill="1" applyBorder="1" applyAlignment="1">
      <alignment vertical="center"/>
    </xf>
    <xf numFmtId="0" fontId="37" fillId="23" borderId="6" xfId="0" applyFont="1" applyFill="1" applyBorder="1" applyAlignment="1">
      <alignment vertical="center"/>
    </xf>
    <xf numFmtId="172" fontId="11" fillId="24" borderId="1" xfId="19" applyNumberFormat="1" applyFont="1" applyFill="1" applyBorder="1"/>
    <xf numFmtId="172" fontId="11" fillId="24" borderId="1" xfId="19" applyNumberFormat="1" applyFont="1" applyFill="1" applyBorder="1" applyProtection="1"/>
    <xf numFmtId="14" fontId="0" fillId="21" borderId="1" xfId="0" applyNumberFormat="1" applyFill="1" applyBorder="1"/>
    <xf numFmtId="0" fontId="16" fillId="21" borderId="3" xfId="0" applyFont="1" applyFill="1" applyBorder="1" applyAlignment="1">
      <alignment vertical="center"/>
    </xf>
    <xf numFmtId="0" fontId="13" fillId="21" borderId="23" xfId="0" applyFont="1" applyFill="1" applyBorder="1" applyAlignment="1">
      <alignment horizontal="right" vertical="center"/>
    </xf>
    <xf numFmtId="0" fontId="13" fillId="21" borderId="3" xfId="0" applyFont="1" applyFill="1" applyBorder="1" applyAlignment="1">
      <alignment horizontal="right" vertical="center"/>
    </xf>
    <xf numFmtId="0" fontId="16" fillId="21" borderId="23" xfId="0" applyFont="1" applyFill="1" applyBorder="1" applyAlignment="1">
      <alignment vertical="center"/>
    </xf>
    <xf numFmtId="0" fontId="37" fillId="21" borderId="23" xfId="0" applyFont="1" applyFill="1" applyBorder="1" applyAlignment="1">
      <alignment vertical="center"/>
    </xf>
    <xf numFmtId="0" fontId="16" fillId="21" borderId="23" xfId="0" applyFont="1" applyFill="1" applyBorder="1" applyAlignment="1">
      <alignment horizontal="right" vertical="center"/>
    </xf>
    <xf numFmtId="0" fontId="133" fillId="0" borderId="0" xfId="0" applyFont="1"/>
    <xf numFmtId="8" fontId="4" fillId="0" borderId="0" xfId="12" applyNumberFormat="1"/>
    <xf numFmtId="0" fontId="0" fillId="29" borderId="57" xfId="0" applyFill="1" applyBorder="1" applyAlignment="1" applyProtection="1">
      <alignment vertical="center"/>
      <protection locked="0"/>
    </xf>
    <xf numFmtId="0" fontId="89" fillId="29" borderId="73" xfId="0" applyFont="1" applyFill="1" applyBorder="1" applyAlignment="1" applyProtection="1">
      <alignment horizontal="center" vertical="center"/>
      <protection locked="0"/>
    </xf>
    <xf numFmtId="172" fontId="149" fillId="34" borderId="57" xfId="1" applyNumberFormat="1" applyFont="1" applyFill="1" applyBorder="1" applyAlignment="1" applyProtection="1">
      <alignment horizontal="center" vertical="center"/>
      <protection locked="0"/>
    </xf>
    <xf numFmtId="167" fontId="90" fillId="34" borderId="8" xfId="1" applyFont="1" applyFill="1" applyBorder="1" applyAlignment="1" applyProtection="1">
      <alignment vertical="center"/>
      <protection locked="0"/>
    </xf>
    <xf numFmtId="0" fontId="110" fillId="29" borderId="4" xfId="0" applyFont="1" applyFill="1" applyBorder="1" applyAlignment="1" applyProtection="1">
      <alignment horizontal="center" vertical="center" wrapText="1"/>
      <protection locked="0"/>
    </xf>
    <xf numFmtId="0" fontId="25" fillId="29" borderId="4" xfId="0" applyFont="1" applyFill="1" applyBorder="1" applyAlignment="1" applyProtection="1">
      <alignment horizontal="center" vertical="center"/>
      <protection locked="0"/>
    </xf>
    <xf numFmtId="10" fontId="36" fillId="29" borderId="4" xfId="2" applyNumberFormat="1" applyFont="1" applyFill="1" applyBorder="1" applyAlignment="1" applyProtection="1">
      <alignment horizontal="center" vertical="center"/>
      <protection locked="0"/>
    </xf>
    <xf numFmtId="9" fontId="0" fillId="29" borderId="28" xfId="2" applyFont="1" applyFill="1" applyBorder="1" applyAlignment="1" applyProtection="1">
      <alignment vertical="center"/>
      <protection locked="0"/>
    </xf>
    <xf numFmtId="9" fontId="0" fillId="29" borderId="30" xfId="2" applyFont="1" applyFill="1" applyBorder="1" applyAlignment="1" applyProtection="1">
      <alignment vertical="center"/>
      <protection locked="0"/>
    </xf>
    <xf numFmtId="9" fontId="0" fillId="29" borderId="34" xfId="2" applyFont="1" applyFill="1" applyBorder="1" applyAlignment="1" applyProtection="1">
      <alignment vertical="center"/>
      <protection locked="0"/>
    </xf>
    <xf numFmtId="9" fontId="0" fillId="29" borderId="67" xfId="2" applyFont="1" applyFill="1" applyBorder="1" applyAlignment="1" applyProtection="1">
      <alignment vertical="center"/>
      <protection locked="0"/>
    </xf>
    <xf numFmtId="0" fontId="16" fillId="30" borderId="23" xfId="0" applyFont="1" applyFill="1" applyBorder="1" applyAlignment="1" applyProtection="1">
      <alignment vertical="center"/>
      <protection locked="0"/>
    </xf>
    <xf numFmtId="0" fontId="37" fillId="30" borderId="23" xfId="0" applyFont="1" applyFill="1" applyBorder="1" applyAlignment="1" applyProtection="1">
      <alignment vertical="center"/>
      <protection locked="0"/>
    </xf>
    <xf numFmtId="0" fontId="16" fillId="30" borderId="23" xfId="0" applyFont="1" applyFill="1" applyBorder="1" applyAlignment="1" applyProtection="1">
      <alignment horizontal="right" vertical="center"/>
      <protection locked="0"/>
    </xf>
    <xf numFmtId="171" fontId="0" fillId="30" borderId="0" xfId="5" applyNumberFormat="1" applyFont="1" applyFill="1" applyBorder="1" applyAlignment="1" applyProtection="1">
      <protection locked="0"/>
    </xf>
    <xf numFmtId="171" fontId="0" fillId="31" borderId="10" xfId="5" applyNumberFormat="1" applyFont="1" applyFill="1" applyBorder="1" applyAlignment="1" applyProtection="1">
      <protection locked="0"/>
    </xf>
    <xf numFmtId="171" fontId="0" fillId="30" borderId="15" xfId="5" applyNumberFormat="1" applyFont="1" applyFill="1" applyBorder="1" applyAlignment="1" applyProtection="1">
      <protection locked="0"/>
    </xf>
    <xf numFmtId="171" fontId="0" fillId="30" borderId="0" xfId="5" applyNumberFormat="1" applyFont="1" applyFill="1" applyBorder="1" applyProtection="1">
      <protection locked="0"/>
    </xf>
    <xf numFmtId="171" fontId="0" fillId="31" borderId="10" xfId="5" applyNumberFormat="1" applyFont="1" applyFill="1" applyBorder="1" applyProtection="1">
      <protection locked="0"/>
    </xf>
    <xf numFmtId="171" fontId="0" fillId="30" borderId="15" xfId="5" applyNumberFormat="1" applyFont="1" applyFill="1" applyBorder="1" applyProtection="1">
      <protection locked="0"/>
    </xf>
    <xf numFmtId="171" fontId="0" fillId="30" borderId="19" xfId="5" applyNumberFormat="1" applyFont="1" applyFill="1" applyBorder="1" applyAlignment="1" applyProtection="1">
      <protection locked="0"/>
    </xf>
    <xf numFmtId="171" fontId="0" fillId="31" borderId="20" xfId="5" applyNumberFormat="1" applyFont="1" applyFill="1" applyBorder="1" applyAlignment="1" applyProtection="1">
      <protection locked="0"/>
    </xf>
    <xf numFmtId="171" fontId="0" fillId="30" borderId="21" xfId="5" applyNumberFormat="1" applyFont="1" applyFill="1" applyBorder="1" applyAlignment="1" applyProtection="1">
      <protection locked="0"/>
    </xf>
    <xf numFmtId="171" fontId="0" fillId="30" borderId="10" xfId="5" applyNumberFormat="1" applyFont="1" applyFill="1" applyBorder="1" applyProtection="1">
      <protection locked="0"/>
    </xf>
    <xf numFmtId="171" fontId="0" fillId="30" borderId="8" xfId="5" applyNumberFormat="1" applyFont="1" applyFill="1" applyBorder="1" applyProtection="1">
      <protection locked="0"/>
    </xf>
    <xf numFmtId="171" fontId="0" fillId="30" borderId="23" xfId="5" applyNumberFormat="1" applyFont="1" applyFill="1" applyBorder="1" applyProtection="1">
      <protection locked="0"/>
    </xf>
    <xf numFmtId="171" fontId="0" fillId="30" borderId="3" xfId="5" applyNumberFormat="1" applyFont="1" applyFill="1" applyBorder="1" applyProtection="1">
      <protection locked="0"/>
    </xf>
    <xf numFmtId="0" fontId="29" fillId="29" borderId="4" xfId="20" applyFont="1" applyFill="1" applyBorder="1" applyAlignment="1" applyProtection="1">
      <alignment horizontal="center" vertical="center"/>
      <protection locked="0"/>
    </xf>
    <xf numFmtId="0" fontId="11" fillId="30" borderId="29" xfId="20" applyFill="1" applyBorder="1" applyProtection="1">
      <protection locked="0"/>
    </xf>
    <xf numFmtId="0" fontId="11" fillId="30" borderId="1" xfId="20" applyFill="1" applyBorder="1" applyProtection="1">
      <protection locked="0"/>
    </xf>
    <xf numFmtId="0" fontId="11" fillId="30" borderId="30" xfId="20" applyFill="1" applyBorder="1" applyProtection="1">
      <protection locked="0"/>
    </xf>
    <xf numFmtId="172" fontId="11" fillId="30" borderId="29" xfId="19" applyNumberFormat="1" applyFont="1" applyFill="1" applyBorder="1" applyProtection="1">
      <protection locked="0"/>
    </xf>
    <xf numFmtId="172" fontId="11" fillId="30" borderId="1" xfId="19" applyNumberFormat="1" applyFont="1" applyFill="1" applyBorder="1" applyProtection="1">
      <protection locked="0"/>
    </xf>
    <xf numFmtId="172" fontId="11" fillId="30" borderId="30" xfId="19" applyNumberFormat="1" applyFont="1" applyFill="1" applyBorder="1" applyProtection="1">
      <protection locked="0"/>
    </xf>
    <xf numFmtId="0" fontId="171" fillId="0" borderId="0" xfId="0" applyFont="1" applyAlignment="1">
      <alignment horizontal="center" vertical="center" wrapText="1"/>
    </xf>
    <xf numFmtId="167" fontId="0" fillId="29" borderId="52" xfId="1" applyFont="1" applyFill="1" applyBorder="1" applyAlignment="1" applyProtection="1">
      <alignment vertical="center"/>
      <protection locked="0"/>
    </xf>
    <xf numFmtId="167" fontId="0" fillId="23" borderId="52" xfId="1" quotePrefix="1" applyFont="1" applyFill="1" applyBorder="1" applyAlignment="1">
      <alignment vertical="center" wrapText="1"/>
    </xf>
    <xf numFmtId="9" fontId="165" fillId="27" borderId="2" xfId="2" applyFont="1" applyFill="1" applyBorder="1" applyAlignment="1">
      <alignment vertical="center"/>
    </xf>
    <xf numFmtId="167" fontId="0" fillId="29" borderId="2" xfId="1" applyFont="1" applyFill="1" applyBorder="1" applyAlignment="1" applyProtection="1">
      <alignment vertical="center"/>
      <protection locked="0"/>
    </xf>
    <xf numFmtId="9" fontId="0" fillId="23" borderId="62" xfId="2" applyFont="1" applyFill="1" applyBorder="1" applyAlignment="1">
      <alignment vertical="center"/>
    </xf>
    <xf numFmtId="0" fontId="0" fillId="23" borderId="10" xfId="0" applyFill="1" applyBorder="1" applyAlignment="1">
      <alignment vertical="center"/>
    </xf>
    <xf numFmtId="0" fontId="14" fillId="59" borderId="1" xfId="0" applyFont="1" applyFill="1" applyBorder="1" applyAlignment="1">
      <alignment horizontal="center" vertical="center" wrapText="1"/>
    </xf>
    <xf numFmtId="167" fontId="0" fillId="0" borderId="0" xfId="1" applyFont="1" applyBorder="1"/>
    <xf numFmtId="167" fontId="110" fillId="27" borderId="2" xfId="0" applyNumberFormat="1" applyFont="1" applyFill="1" applyBorder="1" applyAlignment="1">
      <alignment vertical="center"/>
    </xf>
    <xf numFmtId="49" fontId="1" fillId="29" borderId="2" xfId="19" applyNumberFormat="1" applyFont="1" applyFill="1" applyBorder="1" applyAlignment="1" applyProtection="1">
      <alignment horizontal="center" vertical="center"/>
      <protection locked="0"/>
    </xf>
    <xf numFmtId="49" fontId="1" fillId="29" borderId="1" xfId="19" applyNumberFormat="1" applyFont="1" applyFill="1" applyBorder="1" applyAlignment="1" applyProtection="1">
      <alignment horizontal="center" vertical="center"/>
      <protection locked="0"/>
    </xf>
    <xf numFmtId="167" fontId="0" fillId="23" borderId="194" xfId="1" applyFont="1" applyFill="1" applyBorder="1" applyAlignment="1">
      <alignment vertical="center"/>
    </xf>
    <xf numFmtId="167" fontId="0" fillId="23" borderId="189" xfId="1" applyFont="1" applyFill="1" applyBorder="1" applyAlignment="1">
      <alignment vertical="center"/>
    </xf>
    <xf numFmtId="0" fontId="14" fillId="35" borderId="39" xfId="7" applyFont="1" applyFill="1" applyBorder="1" applyAlignment="1">
      <alignment horizontal="center" vertical="center" wrapText="1"/>
    </xf>
    <xf numFmtId="0" fontId="14" fillId="35" borderId="41" xfId="7" applyFont="1" applyFill="1" applyBorder="1" applyAlignment="1">
      <alignment horizontal="center" vertical="center" wrapText="1"/>
    </xf>
    <xf numFmtId="0" fontId="36" fillId="35" borderId="26" xfId="7" applyFont="1" applyFill="1" applyBorder="1" applyAlignment="1">
      <alignment horizontal="center" vertical="center"/>
    </xf>
    <xf numFmtId="0" fontId="36" fillId="35" borderId="32" xfId="7" applyFont="1" applyFill="1" applyBorder="1" applyAlignment="1">
      <alignment horizontal="center" vertical="center"/>
    </xf>
    <xf numFmtId="0" fontId="13" fillId="36" borderId="24" xfId="0" applyFont="1" applyFill="1" applyBorder="1" applyAlignment="1">
      <alignment horizontal="right" vertical="center"/>
    </xf>
    <xf numFmtId="0" fontId="13" fillId="36" borderId="5" xfId="0" applyFont="1" applyFill="1" applyBorder="1" applyAlignment="1">
      <alignment horizontal="right" vertical="center"/>
    </xf>
    <xf numFmtId="0" fontId="13" fillId="36" borderId="23" xfId="0" applyFont="1" applyFill="1" applyBorder="1" applyAlignment="1">
      <alignment horizontal="right" vertical="center"/>
    </xf>
    <xf numFmtId="0" fontId="31" fillId="0" borderId="5" xfId="4" applyFont="1" applyBorder="1" applyAlignment="1">
      <alignment horizontal="center"/>
    </xf>
    <xf numFmtId="0" fontId="2" fillId="0" borderId="18" xfId="4" applyBorder="1" applyAlignment="1">
      <alignment horizontal="center"/>
    </xf>
    <xf numFmtId="0" fontId="2" fillId="0" borderId="16" xfId="4" applyBorder="1" applyAlignment="1">
      <alignment horizontal="center"/>
    </xf>
    <xf numFmtId="0" fontId="2" fillId="0" borderId="17" xfId="4" applyBorder="1" applyAlignment="1">
      <alignment horizontal="center"/>
    </xf>
    <xf numFmtId="0" fontId="29" fillId="0" borderId="0" xfId="4" applyFont="1" applyAlignment="1">
      <alignment horizontal="center" vertical="center" wrapText="1"/>
    </xf>
    <xf numFmtId="0" fontId="0" fillId="26" borderId="46" xfId="0" applyFill="1" applyBorder="1" applyAlignment="1">
      <alignment horizontal="center" vertical="center" wrapText="1"/>
    </xf>
    <xf numFmtId="0" fontId="0" fillId="26" borderId="52" xfId="0" applyFill="1" applyBorder="1" applyAlignment="1">
      <alignment horizontal="center" vertical="center" wrapText="1"/>
    </xf>
    <xf numFmtId="0" fontId="0" fillId="26" borderId="48" xfId="0" applyFill="1" applyBorder="1" applyAlignment="1">
      <alignment horizontal="center" vertical="center" wrapText="1"/>
    </xf>
    <xf numFmtId="0" fontId="24" fillId="26" borderId="47" xfId="0" applyFont="1" applyFill="1" applyBorder="1" applyAlignment="1">
      <alignment horizontal="center" vertical="center"/>
    </xf>
    <xf numFmtId="0" fontId="24" fillId="26" borderId="54" xfId="0" applyFont="1" applyFill="1" applyBorder="1" applyAlignment="1">
      <alignment horizontal="center" vertical="center"/>
    </xf>
    <xf numFmtId="0" fontId="24" fillId="26" borderId="49" xfId="0" applyFont="1" applyFill="1" applyBorder="1" applyAlignment="1">
      <alignment horizontal="center" vertical="center"/>
    </xf>
    <xf numFmtId="0" fontId="22" fillId="26" borderId="50" xfId="0" applyFont="1" applyFill="1" applyBorder="1" applyAlignment="1">
      <alignment horizontal="center" vertical="center" wrapText="1"/>
    </xf>
    <xf numFmtId="0" fontId="22" fillId="26" borderId="51" xfId="0" applyFont="1" applyFill="1" applyBorder="1" applyAlignment="1">
      <alignment horizontal="center" vertical="center" wrapText="1"/>
    </xf>
    <xf numFmtId="0" fontId="22" fillId="27" borderId="50" xfId="0" applyFont="1" applyFill="1" applyBorder="1" applyAlignment="1">
      <alignment horizontal="center" vertical="center" wrapText="1"/>
    </xf>
    <xf numFmtId="0" fontId="22" fillId="27" borderId="51" xfId="0" applyFont="1" applyFill="1" applyBorder="1" applyAlignment="1">
      <alignment horizontal="center" vertical="center" wrapText="1"/>
    </xf>
    <xf numFmtId="0" fontId="0" fillId="27" borderId="52" xfId="0" applyFill="1" applyBorder="1" applyAlignment="1">
      <alignment horizontal="center" vertical="center" wrapText="1"/>
    </xf>
    <xf numFmtId="0" fontId="0" fillId="27" borderId="48" xfId="0" applyFill="1" applyBorder="1" applyAlignment="1">
      <alignment horizontal="center" vertical="center" wrapText="1"/>
    </xf>
    <xf numFmtId="0" fontId="24" fillId="27" borderId="54" xfId="0" applyFont="1" applyFill="1" applyBorder="1" applyAlignment="1">
      <alignment horizontal="center" vertical="center"/>
    </xf>
    <xf numFmtId="0" fontId="24" fillId="27" borderId="49" xfId="0" applyFont="1" applyFill="1" applyBorder="1" applyAlignment="1">
      <alignment horizontal="center" vertical="center"/>
    </xf>
    <xf numFmtId="0" fontId="22" fillId="25" borderId="50" xfId="0" applyFont="1" applyFill="1" applyBorder="1" applyAlignment="1">
      <alignment horizontal="center" vertical="center" wrapText="1"/>
    </xf>
    <xf numFmtId="0" fontId="22" fillId="25" borderId="51" xfId="0" applyFont="1" applyFill="1" applyBorder="1" applyAlignment="1">
      <alignment horizontal="center" vertical="center" wrapText="1"/>
    </xf>
    <xf numFmtId="0" fontId="0" fillId="25" borderId="52" xfId="0" applyFill="1" applyBorder="1" applyAlignment="1">
      <alignment horizontal="center" vertical="center" wrapText="1"/>
    </xf>
    <xf numFmtId="0" fontId="0" fillId="25" borderId="48" xfId="0" applyFill="1" applyBorder="1" applyAlignment="1">
      <alignment horizontal="center" vertical="center" wrapText="1"/>
    </xf>
    <xf numFmtId="0" fontId="24" fillId="25" borderId="54" xfId="0" applyFont="1" applyFill="1" applyBorder="1" applyAlignment="1">
      <alignment horizontal="center" vertical="center"/>
    </xf>
    <xf numFmtId="0" fontId="24" fillId="25" borderId="49" xfId="0" applyFont="1" applyFill="1" applyBorder="1" applyAlignment="1">
      <alignment horizontal="center" vertical="center"/>
    </xf>
    <xf numFmtId="0" fontId="2" fillId="0" borderId="16"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40" xfId="0" applyFont="1" applyBorder="1" applyAlignment="1">
      <alignment horizontal="center" wrapText="1"/>
    </xf>
    <xf numFmtId="0" fontId="2" fillId="0" borderId="42" xfId="0" applyFont="1" applyBorder="1" applyAlignment="1">
      <alignment horizontal="center" vertical="center" wrapText="1"/>
    </xf>
    <xf numFmtId="0" fontId="2" fillId="0" borderId="36" xfId="0" applyFont="1" applyBorder="1" applyAlignment="1">
      <alignment horizontal="center" vertical="center"/>
    </xf>
    <xf numFmtId="0" fontId="7" fillId="0" borderId="38" xfId="0" applyFont="1" applyBorder="1" applyAlignment="1">
      <alignment horizontal="center" vertical="center" wrapText="1"/>
    </xf>
    <xf numFmtId="0" fontId="7" fillId="0" borderId="1" xfId="0" applyFont="1" applyBorder="1" applyAlignment="1">
      <alignment horizontal="center" vertical="center" wrapText="1"/>
    </xf>
    <xf numFmtId="0" fontId="7" fillId="0" borderId="0" xfId="0" applyFont="1" applyAlignment="1">
      <alignment horizontal="center" vertical="center"/>
    </xf>
    <xf numFmtId="0" fontId="2" fillId="0" borderId="35" xfId="0" applyFont="1" applyBorder="1" applyAlignment="1">
      <alignment horizontal="center"/>
    </xf>
    <xf numFmtId="0" fontId="2" fillId="0" borderId="1" xfId="0" applyFont="1" applyBorder="1" applyAlignment="1">
      <alignment horizontal="center" vertical="center"/>
    </xf>
    <xf numFmtId="0" fontId="2" fillId="8" borderId="0" xfId="0" applyFont="1" applyFill="1" applyAlignment="1">
      <alignment horizontal="center"/>
    </xf>
    <xf numFmtId="0" fontId="17" fillId="3" borderId="38" xfId="3" applyFont="1" applyFill="1" applyBorder="1" applyAlignment="1">
      <alignment horizontal="center" vertical="top" wrapText="1"/>
    </xf>
    <xf numFmtId="0" fontId="17" fillId="3" borderId="1" xfId="3" applyFont="1" applyFill="1" applyBorder="1" applyAlignment="1">
      <alignment horizontal="center" vertical="top" wrapText="1"/>
    </xf>
    <xf numFmtId="0" fontId="7" fillId="71" borderId="38" xfId="4" applyFont="1" applyFill="1" applyBorder="1" applyAlignment="1">
      <alignment horizontal="left" vertical="center"/>
    </xf>
    <xf numFmtId="0" fontId="7" fillId="71" borderId="35" xfId="4" applyFont="1" applyFill="1" applyBorder="1" applyAlignment="1">
      <alignment horizontal="left" vertical="center"/>
    </xf>
    <xf numFmtId="0" fontId="3" fillId="61" borderId="38" xfId="4" applyFont="1" applyFill="1" applyBorder="1" applyAlignment="1">
      <alignment horizontal="center" vertical="center"/>
    </xf>
    <xf numFmtId="0" fontId="3" fillId="61" borderId="35" xfId="4" applyFont="1" applyFill="1" applyBorder="1" applyAlignment="1">
      <alignment horizontal="center" vertical="center"/>
    </xf>
    <xf numFmtId="0" fontId="3" fillId="61" borderId="1" xfId="4" applyFont="1" applyFill="1" applyBorder="1" applyAlignment="1">
      <alignment horizontal="center" vertical="center"/>
    </xf>
    <xf numFmtId="0" fontId="142" fillId="22" borderId="1" xfId="4" applyFont="1" applyFill="1" applyBorder="1" applyAlignment="1">
      <alignment horizontal="center" vertical="center" wrapText="1"/>
    </xf>
    <xf numFmtId="0" fontId="143" fillId="30" borderId="1" xfId="4" applyFont="1" applyFill="1" applyBorder="1" applyAlignment="1">
      <alignment horizontal="center" vertical="center"/>
    </xf>
    <xf numFmtId="0" fontId="2" fillId="0" borderId="55" xfId="4" applyBorder="1" applyAlignment="1">
      <alignment horizontal="center" vertical="center" wrapText="1"/>
    </xf>
    <xf numFmtId="0" fontId="2" fillId="0" borderId="55" xfId="0" applyFont="1" applyBorder="1" applyAlignment="1">
      <alignment horizontal="center" vertical="center" wrapText="1"/>
    </xf>
    <xf numFmtId="0" fontId="2" fillId="38" borderId="1" xfId="0" applyFont="1" applyFill="1" applyBorder="1" applyAlignment="1">
      <alignment horizontal="center"/>
    </xf>
    <xf numFmtId="0" fontId="2" fillId="0" borderId="1" xfId="0" applyFont="1" applyBorder="1" applyAlignment="1">
      <alignment vertical="center"/>
    </xf>
    <xf numFmtId="0" fontId="2" fillId="0" borderId="1" xfId="0" applyFont="1" applyBorder="1" applyAlignment="1">
      <alignment horizontal="center" textRotation="90" wrapText="1"/>
    </xf>
    <xf numFmtId="0" fontId="2" fillId="21" borderId="38" xfId="0" applyFont="1" applyFill="1" applyBorder="1" applyAlignment="1">
      <alignment horizontal="center" vertical="center"/>
    </xf>
    <xf numFmtId="0" fontId="2" fillId="21" borderId="35" xfId="0" applyFont="1" applyFill="1" applyBorder="1" applyAlignment="1">
      <alignment horizontal="center" vertical="center"/>
    </xf>
    <xf numFmtId="0" fontId="2" fillId="0" borderId="1" xfId="0" applyFont="1" applyBorder="1" applyAlignment="1">
      <alignment horizontal="center"/>
    </xf>
    <xf numFmtId="0" fontId="13" fillId="28" borderId="39" xfId="7" applyFont="1" applyFill="1" applyBorder="1" applyAlignment="1">
      <alignment horizontal="center" vertical="center" wrapText="1"/>
    </xf>
    <xf numFmtId="0" fontId="13" fillId="28" borderId="41" xfId="7" applyFont="1" applyFill="1" applyBorder="1" applyAlignment="1">
      <alignment horizontal="center" vertical="center" wrapText="1"/>
    </xf>
    <xf numFmtId="0" fontId="26" fillId="28" borderId="26" xfId="7" applyFont="1" applyFill="1" applyBorder="1" applyAlignment="1">
      <alignment horizontal="center" vertical="center"/>
    </xf>
    <xf numFmtId="0" fontId="26" fillId="28" borderId="32" xfId="7" applyFont="1" applyFill="1" applyBorder="1" applyAlignment="1">
      <alignment horizontal="center" vertical="center"/>
    </xf>
    <xf numFmtId="0" fontId="13" fillId="20" borderId="24" xfId="0" applyFont="1" applyFill="1" applyBorder="1" applyAlignment="1">
      <alignment horizontal="right" vertical="center"/>
    </xf>
    <xf numFmtId="0" fontId="13" fillId="20" borderId="5" xfId="0" applyFont="1" applyFill="1" applyBorder="1" applyAlignment="1">
      <alignment horizontal="right" vertical="center"/>
    </xf>
    <xf numFmtId="0" fontId="13" fillId="20" borderId="23" xfId="0" applyFont="1" applyFill="1" applyBorder="1" applyAlignment="1">
      <alignment horizontal="right" vertical="center"/>
    </xf>
    <xf numFmtId="0" fontId="51" fillId="0" borderId="0" xfId="0" applyFont="1" applyAlignment="1">
      <alignment horizontal="left" vertical="center"/>
    </xf>
    <xf numFmtId="179" fontId="53" fillId="0" borderId="45" xfId="0" applyNumberFormat="1" applyFont="1" applyBorder="1" applyAlignment="1">
      <alignment horizontal="center" vertical="center"/>
    </xf>
    <xf numFmtId="10" fontId="53" fillId="44" borderId="38" xfId="0" applyNumberFormat="1" applyFont="1" applyFill="1" applyBorder="1" applyAlignment="1">
      <alignment horizontal="center" vertical="center"/>
    </xf>
    <xf numFmtId="10" fontId="53" fillId="44" borderId="35" xfId="0" applyNumberFormat="1" applyFont="1" applyFill="1" applyBorder="1" applyAlignment="1">
      <alignment horizontal="center" vertical="center"/>
    </xf>
    <xf numFmtId="179" fontId="66" fillId="39" borderId="18" xfId="0" applyNumberFormat="1" applyFont="1" applyFill="1" applyBorder="1" applyAlignment="1">
      <alignment horizontal="left" vertical="center"/>
    </xf>
    <xf numFmtId="179" fontId="66" fillId="39" borderId="16" xfId="0" applyNumberFormat="1" applyFont="1" applyFill="1" applyBorder="1" applyAlignment="1">
      <alignment horizontal="left" vertical="center"/>
    </xf>
    <xf numFmtId="0" fontId="68" fillId="27" borderId="71" xfId="0" applyFont="1" applyFill="1" applyBorder="1" applyAlignment="1">
      <alignment horizontal="left" vertical="center"/>
    </xf>
    <xf numFmtId="0" fontId="68" fillId="27" borderId="50" xfId="0" applyFont="1" applyFill="1" applyBorder="1" applyAlignment="1">
      <alignment horizontal="left" vertical="center"/>
    </xf>
    <xf numFmtId="0" fontId="52" fillId="41" borderId="38" xfId="0" applyFont="1" applyFill="1" applyBorder="1" applyAlignment="1">
      <alignment horizontal="right" vertical="center"/>
    </xf>
    <xf numFmtId="0" fontId="52" fillId="41" borderId="16" xfId="0" applyFont="1" applyFill="1" applyBorder="1" applyAlignment="1">
      <alignment horizontal="right" vertical="center"/>
    </xf>
    <xf numFmtId="0" fontId="55" fillId="24" borderId="0" xfId="0" applyFont="1" applyFill="1" applyAlignment="1">
      <alignment horizontal="center" vertical="center"/>
    </xf>
    <xf numFmtId="168" fontId="56" fillId="24" borderId="0" xfId="8" applyFont="1" applyFill="1" applyBorder="1" applyAlignment="1" applyProtection="1">
      <alignment horizontal="center" vertical="center"/>
    </xf>
    <xf numFmtId="0" fontId="51" fillId="0" borderId="0" xfId="0" applyFont="1" applyAlignment="1">
      <alignment horizontal="center" vertical="center"/>
    </xf>
    <xf numFmtId="0" fontId="53" fillId="25" borderId="61" xfId="0" applyFont="1" applyFill="1" applyBorder="1" applyAlignment="1">
      <alignment horizontal="center" vertical="center"/>
    </xf>
    <xf numFmtId="0" fontId="53" fillId="25" borderId="45" xfId="0" applyFont="1" applyFill="1" applyBorder="1" applyAlignment="1">
      <alignment horizontal="center" vertical="center"/>
    </xf>
    <xf numFmtId="0" fontId="53" fillId="25" borderId="62" xfId="0" applyFont="1" applyFill="1" applyBorder="1" applyAlignment="1">
      <alignment horizontal="center" vertical="center"/>
    </xf>
    <xf numFmtId="0" fontId="51" fillId="0" borderId="0" xfId="0" applyFont="1" applyAlignment="1">
      <alignment vertical="center"/>
    </xf>
    <xf numFmtId="0" fontId="76" fillId="45" borderId="38" xfId="0" applyFont="1" applyFill="1" applyBorder="1" applyAlignment="1">
      <alignment horizontal="center" vertical="center"/>
    </xf>
    <xf numFmtId="0" fontId="76" fillId="45" borderId="16" xfId="0" applyFont="1" applyFill="1" applyBorder="1" applyAlignment="1">
      <alignment horizontal="center" vertical="center"/>
    </xf>
    <xf numFmtId="3" fontId="51" fillId="0" borderId="0" xfId="0" applyNumberFormat="1" applyFont="1" applyAlignment="1">
      <alignment horizontal="left" vertical="center"/>
    </xf>
    <xf numFmtId="0" fontId="71" fillId="0" borderId="0" xfId="0" applyFont="1" applyAlignment="1">
      <alignment horizontal="center" vertical="center"/>
    </xf>
    <xf numFmtId="0" fontId="72" fillId="45" borderId="38" xfId="0" applyFont="1" applyFill="1" applyBorder="1" applyAlignment="1">
      <alignment vertical="center"/>
    </xf>
    <xf numFmtId="0" fontId="72" fillId="45" borderId="16" xfId="0" applyFont="1" applyFill="1" applyBorder="1" applyAlignment="1">
      <alignment vertical="center"/>
    </xf>
    <xf numFmtId="0" fontId="72" fillId="45" borderId="35" xfId="0" applyFont="1" applyFill="1" applyBorder="1" applyAlignment="1">
      <alignment vertical="center"/>
    </xf>
    <xf numFmtId="3" fontId="73" fillId="0" borderId="38" xfId="0" applyNumberFormat="1" applyFont="1" applyBorder="1" applyAlignment="1">
      <alignment horizontal="center" vertical="center"/>
    </xf>
    <xf numFmtId="3" fontId="73" fillId="0" borderId="16" xfId="0" applyNumberFormat="1" applyFont="1" applyBorder="1" applyAlignment="1">
      <alignment horizontal="center" vertical="center"/>
    </xf>
    <xf numFmtId="3" fontId="73" fillId="0" borderId="35" xfId="0" applyNumberFormat="1" applyFont="1" applyBorder="1" applyAlignment="1">
      <alignment horizontal="center" vertical="center"/>
    </xf>
    <xf numFmtId="0" fontId="51" fillId="0" borderId="40" xfId="0" applyFont="1" applyBorder="1" applyAlignment="1">
      <alignment horizontal="left" vertical="center"/>
    </xf>
    <xf numFmtId="3" fontId="51" fillId="0" borderId="72" xfId="0" applyNumberFormat="1" applyFont="1" applyBorder="1" applyAlignment="1">
      <alignment horizontal="left" vertical="center"/>
    </xf>
    <xf numFmtId="3" fontId="78" fillId="45" borderId="73" xfId="0" applyNumberFormat="1" applyFont="1" applyFill="1" applyBorder="1" applyAlignment="1">
      <alignment horizontal="center" vertical="center"/>
    </xf>
    <xf numFmtId="3" fontId="78" fillId="45" borderId="75" xfId="0" applyNumberFormat="1" applyFont="1" applyFill="1" applyBorder="1" applyAlignment="1">
      <alignment horizontal="center" vertical="center"/>
    </xf>
    <xf numFmtId="0" fontId="76" fillId="46" borderId="38" xfId="0" applyFont="1" applyFill="1" applyBorder="1" applyAlignment="1">
      <alignment horizontal="center" vertical="center"/>
    </xf>
    <xf numFmtId="0" fontId="76" fillId="46" borderId="16" xfId="0" applyFont="1" applyFill="1" applyBorder="1" applyAlignment="1">
      <alignment horizontal="center" vertical="center"/>
    </xf>
    <xf numFmtId="0" fontId="72" fillId="46" borderId="38" xfId="0" applyFont="1" applyFill="1" applyBorder="1" applyAlignment="1">
      <alignment vertical="center"/>
    </xf>
    <xf numFmtId="0" fontId="72" fillId="46" borderId="16" xfId="0" applyFont="1" applyFill="1" applyBorder="1" applyAlignment="1">
      <alignment vertical="center"/>
    </xf>
    <xf numFmtId="0" fontId="72" fillId="46" borderId="35" xfId="0" applyFont="1" applyFill="1" applyBorder="1" applyAlignment="1">
      <alignment vertical="center"/>
    </xf>
    <xf numFmtId="3" fontId="78" fillId="46" borderId="73" xfId="0" applyNumberFormat="1" applyFont="1" applyFill="1" applyBorder="1" applyAlignment="1">
      <alignment horizontal="center" vertical="center"/>
    </xf>
    <xf numFmtId="3" fontId="78" fillId="46" borderId="75" xfId="0" applyNumberFormat="1" applyFont="1" applyFill="1" applyBorder="1" applyAlignment="1">
      <alignment horizontal="center" vertical="center"/>
    </xf>
    <xf numFmtId="3" fontId="51" fillId="0" borderId="0" xfId="0" applyNumberFormat="1" applyFont="1" applyAlignment="1">
      <alignment vertical="center"/>
    </xf>
    <xf numFmtId="0" fontId="72" fillId="47" borderId="38" xfId="0" applyFont="1" applyFill="1" applyBorder="1" applyAlignment="1">
      <alignment vertical="center"/>
    </xf>
    <xf numFmtId="0" fontId="72" fillId="47" borderId="16" xfId="0" applyFont="1" applyFill="1" applyBorder="1" applyAlignment="1">
      <alignment vertical="center"/>
    </xf>
    <xf numFmtId="0" fontId="72" fillId="47" borderId="35" xfId="0" applyFont="1" applyFill="1" applyBorder="1" applyAlignment="1">
      <alignment vertical="center"/>
    </xf>
    <xf numFmtId="0" fontId="73" fillId="0" borderId="38" xfId="0" applyFont="1" applyBorder="1" applyAlignment="1">
      <alignment horizontal="center" vertical="center"/>
    </xf>
    <xf numFmtId="0" fontId="73" fillId="0" borderId="16" xfId="0" applyFont="1" applyBorder="1" applyAlignment="1">
      <alignment horizontal="center" vertical="center"/>
    </xf>
    <xf numFmtId="0" fontId="73" fillId="0" borderId="35" xfId="0" applyFont="1" applyBorder="1" applyAlignment="1">
      <alignment horizontal="center" vertical="center"/>
    </xf>
    <xf numFmtId="0" fontId="76" fillId="47" borderId="38" xfId="0" applyFont="1" applyFill="1" applyBorder="1" applyAlignment="1">
      <alignment horizontal="center" vertical="center"/>
    </xf>
    <xf numFmtId="0" fontId="76" fillId="47" borderId="16" xfId="0" applyFont="1" applyFill="1" applyBorder="1" applyAlignment="1">
      <alignment horizontal="center" vertical="center"/>
    </xf>
    <xf numFmtId="0" fontId="51" fillId="0" borderId="72" xfId="0" applyFont="1" applyBorder="1" applyAlignment="1">
      <alignment horizontal="left" vertical="center"/>
    </xf>
    <xf numFmtId="0" fontId="78" fillId="47" borderId="73" xfId="0" applyFont="1" applyFill="1" applyBorder="1" applyAlignment="1">
      <alignment horizontal="left" vertical="center"/>
    </xf>
    <xf numFmtId="0" fontId="78" fillId="47" borderId="75" xfId="0" applyFont="1" applyFill="1" applyBorder="1" applyAlignment="1">
      <alignment horizontal="left" vertical="center"/>
    </xf>
    <xf numFmtId="0" fontId="83" fillId="0" borderId="39" xfId="0" applyFont="1" applyBorder="1" applyAlignment="1">
      <alignment horizontal="center"/>
    </xf>
    <xf numFmtId="0" fontId="83" fillId="0" borderId="41" xfId="0" applyFont="1" applyBorder="1" applyAlignment="1">
      <alignment horizontal="center"/>
    </xf>
    <xf numFmtId="0" fontId="14" fillId="32" borderId="71" xfId="0" applyFont="1" applyFill="1" applyBorder="1" applyAlignment="1">
      <alignment horizontal="center" vertical="center" wrapText="1"/>
    </xf>
    <xf numFmtId="0" fontId="14" fillId="32" borderId="50" xfId="0" applyFont="1" applyFill="1" applyBorder="1" applyAlignment="1">
      <alignment horizontal="center" vertical="center" wrapText="1"/>
    </xf>
    <xf numFmtId="0" fontId="14" fillId="32" borderId="51" xfId="0" applyFont="1" applyFill="1" applyBorder="1" applyAlignment="1">
      <alignment horizontal="center" vertical="center" wrapText="1"/>
    </xf>
    <xf numFmtId="0" fontId="93" fillId="0" borderId="78" xfId="0" applyFont="1" applyBorder="1" applyAlignment="1">
      <alignment horizontal="center" vertical="center"/>
    </xf>
    <xf numFmtId="0" fontId="93" fillId="0" borderId="0" xfId="0" applyFont="1" applyAlignment="1">
      <alignment horizontal="center" vertical="center"/>
    </xf>
    <xf numFmtId="0" fontId="124" fillId="7" borderId="73" xfId="0" applyFont="1" applyFill="1" applyBorder="1" applyAlignment="1">
      <alignment horizontal="center" vertical="center"/>
    </xf>
    <xf numFmtId="0" fontId="124" fillId="7" borderId="75" xfId="0" applyFont="1" applyFill="1" applyBorder="1" applyAlignment="1">
      <alignment horizontal="center" vertical="center"/>
    </xf>
    <xf numFmtId="0" fontId="124" fillId="7" borderId="74" xfId="0" applyFont="1" applyFill="1" applyBorder="1" applyAlignment="1">
      <alignment horizontal="center" vertical="center"/>
    </xf>
    <xf numFmtId="0" fontId="90" fillId="0" borderId="0" xfId="0" applyFont="1" applyAlignment="1">
      <alignment horizontal="center" vertical="center" wrapText="1"/>
    </xf>
    <xf numFmtId="0" fontId="13" fillId="62" borderId="7" xfId="0" applyFont="1" applyFill="1" applyBorder="1" applyAlignment="1">
      <alignment horizontal="center" vertical="center"/>
    </xf>
    <xf numFmtId="0" fontId="13" fillId="62" borderId="3" xfId="0" applyFont="1" applyFill="1" applyBorder="1" applyAlignment="1">
      <alignment horizontal="center" vertical="center"/>
    </xf>
    <xf numFmtId="0" fontId="13" fillId="0" borderId="0" xfId="0" applyFont="1" applyAlignment="1">
      <alignment horizontal="center" vertical="center"/>
    </xf>
    <xf numFmtId="0" fontId="103" fillId="51" borderId="85" xfId="0" applyFont="1" applyFill="1" applyBorder="1" applyAlignment="1">
      <alignment horizontal="center" vertical="center" wrapText="1"/>
    </xf>
    <xf numFmtId="0" fontId="103" fillId="51" borderId="72" xfId="0" applyFont="1" applyFill="1" applyBorder="1" applyAlignment="1">
      <alignment horizontal="center" vertical="center" wrapText="1"/>
    </xf>
    <xf numFmtId="0" fontId="104" fillId="52" borderId="0" xfId="0" applyFont="1" applyFill="1" applyAlignment="1">
      <alignment horizontal="center"/>
    </xf>
    <xf numFmtId="0" fontId="151" fillId="24" borderId="73" xfId="0" applyFont="1" applyFill="1" applyBorder="1" applyAlignment="1">
      <alignment horizontal="center" vertical="center"/>
    </xf>
    <xf numFmtId="0" fontId="151" fillId="24" borderId="75" xfId="0" applyFont="1" applyFill="1" applyBorder="1" applyAlignment="1">
      <alignment horizontal="center" vertical="center"/>
    </xf>
    <xf numFmtId="0" fontId="151" fillId="24" borderId="74" xfId="0" applyFont="1" applyFill="1" applyBorder="1" applyAlignment="1">
      <alignment horizontal="center" vertical="center"/>
    </xf>
    <xf numFmtId="0" fontId="162" fillId="7" borderId="73" xfId="0" applyFont="1" applyFill="1" applyBorder="1" applyAlignment="1">
      <alignment horizontal="center" vertical="center" wrapText="1"/>
    </xf>
    <xf numFmtId="0" fontId="162" fillId="7" borderId="74" xfId="0" applyFont="1" applyFill="1" applyBorder="1" applyAlignment="1">
      <alignment horizontal="center" vertical="center" wrapText="1"/>
    </xf>
    <xf numFmtId="0" fontId="114" fillId="60" borderId="0" xfId="0" applyFont="1" applyFill="1" applyAlignment="1">
      <alignment horizontal="center" vertical="center" wrapText="1"/>
    </xf>
    <xf numFmtId="0" fontId="151" fillId="24" borderId="71" xfId="0" quotePrefix="1" applyFont="1" applyFill="1" applyBorder="1" applyAlignment="1">
      <alignment horizontal="center" vertical="center" wrapText="1"/>
    </xf>
    <xf numFmtId="0" fontId="151" fillId="24" borderId="51" xfId="0" applyFont="1" applyFill="1" applyBorder="1" applyAlignment="1">
      <alignment horizontal="center" vertical="center" wrapText="1"/>
    </xf>
    <xf numFmtId="0" fontId="144" fillId="24" borderId="201" xfId="0" applyFont="1" applyFill="1" applyBorder="1" applyAlignment="1">
      <alignment horizontal="center" wrapText="1"/>
    </xf>
    <xf numFmtId="0" fontId="144" fillId="24" borderId="202" xfId="0" applyFont="1" applyFill="1" applyBorder="1" applyAlignment="1">
      <alignment horizontal="center" wrapText="1"/>
    </xf>
    <xf numFmtId="0" fontId="144" fillId="24" borderId="85" xfId="0" applyFont="1" applyFill="1" applyBorder="1" applyAlignment="1">
      <alignment horizontal="center" wrapText="1"/>
    </xf>
    <xf numFmtId="0" fontId="144" fillId="24" borderId="83" xfId="0" applyFont="1" applyFill="1" applyBorder="1" applyAlignment="1">
      <alignment horizontal="center" wrapText="1"/>
    </xf>
    <xf numFmtId="0" fontId="85" fillId="0" borderId="0" xfId="0" applyFont="1" applyAlignment="1">
      <alignment horizontal="center"/>
    </xf>
    <xf numFmtId="0" fontId="13" fillId="7" borderId="73" xfId="0" applyFont="1" applyFill="1" applyBorder="1" applyAlignment="1">
      <alignment horizontal="center" vertical="center" wrapText="1"/>
    </xf>
    <xf numFmtId="0" fontId="13" fillId="7" borderId="74" xfId="0" applyFont="1" applyFill="1" applyBorder="1" applyAlignment="1">
      <alignment horizontal="center" vertical="center" wrapText="1"/>
    </xf>
    <xf numFmtId="0" fontId="150" fillId="24" borderId="201" xfId="0" applyFont="1" applyFill="1" applyBorder="1" applyAlignment="1">
      <alignment horizontal="center" vertical="center" wrapText="1"/>
    </xf>
    <xf numFmtId="0" fontId="150" fillId="24" borderId="78" xfId="0" applyFont="1" applyFill="1" applyBorder="1" applyAlignment="1">
      <alignment horizontal="center" vertical="center" wrapText="1"/>
    </xf>
    <xf numFmtId="0" fontId="150" fillId="24" borderId="202" xfId="0" applyFont="1" applyFill="1" applyBorder="1" applyAlignment="1">
      <alignment horizontal="center" vertical="center" wrapText="1"/>
    </xf>
    <xf numFmtId="0" fontId="150" fillId="24" borderId="85" xfId="0" applyFont="1" applyFill="1" applyBorder="1" applyAlignment="1">
      <alignment horizontal="center" vertical="center" wrapText="1"/>
    </xf>
    <xf numFmtId="0" fontId="150" fillId="24" borderId="72" xfId="0" applyFont="1" applyFill="1" applyBorder="1" applyAlignment="1">
      <alignment horizontal="center" vertical="center" wrapText="1"/>
    </xf>
    <xf numFmtId="0" fontId="150" fillId="24" borderId="83" xfId="0" applyFont="1" applyFill="1" applyBorder="1" applyAlignment="1">
      <alignment horizontal="center" vertical="center" wrapText="1"/>
    </xf>
    <xf numFmtId="0" fontId="14" fillId="60" borderId="198" xfId="0" applyFont="1" applyFill="1" applyBorder="1" applyAlignment="1">
      <alignment horizontal="center" vertical="center" wrapText="1"/>
    </xf>
    <xf numFmtId="0" fontId="14" fillId="60" borderId="199" xfId="0" applyFont="1" applyFill="1" applyBorder="1" applyAlignment="1">
      <alignment horizontal="center" vertical="center" wrapText="1"/>
    </xf>
    <xf numFmtId="0" fontId="0" fillId="60" borderId="38" xfId="0" applyFill="1" applyBorder="1" applyAlignment="1">
      <alignment horizontal="center"/>
    </xf>
    <xf numFmtId="0" fontId="0" fillId="60" borderId="16" xfId="0" applyFill="1" applyBorder="1" applyAlignment="1">
      <alignment horizontal="center"/>
    </xf>
    <xf numFmtId="0" fontId="0" fillId="60" borderId="35" xfId="0" applyFill="1" applyBorder="1" applyAlignment="1">
      <alignment horizontal="center"/>
    </xf>
    <xf numFmtId="0" fontId="166" fillId="24" borderId="66" xfId="0" applyFont="1" applyFill="1" applyBorder="1" applyAlignment="1">
      <alignment horizontal="center" vertical="center" wrapText="1"/>
    </xf>
    <xf numFmtId="0" fontId="166" fillId="24" borderId="65" xfId="0" applyFont="1" applyFill="1" applyBorder="1" applyAlignment="1">
      <alignment horizontal="center" vertical="center" wrapText="1"/>
    </xf>
    <xf numFmtId="0" fontId="166" fillId="24" borderId="6" xfId="0" applyFont="1" applyFill="1" applyBorder="1" applyAlignment="1">
      <alignment horizontal="center" vertical="center" wrapText="1"/>
    </xf>
    <xf numFmtId="0" fontId="166" fillId="24" borderId="24" xfId="0" applyFont="1" applyFill="1" applyBorder="1" applyAlignment="1">
      <alignment horizontal="center" vertical="center" wrapText="1"/>
    </xf>
    <xf numFmtId="0" fontId="166" fillId="24" borderId="5" xfId="0" applyFont="1" applyFill="1" applyBorder="1" applyAlignment="1">
      <alignment horizontal="center" vertical="center" wrapText="1"/>
    </xf>
    <xf numFmtId="0" fontId="166" fillId="24" borderId="23" xfId="0" applyFont="1" applyFill="1" applyBorder="1" applyAlignment="1">
      <alignment horizontal="center" vertical="center" wrapText="1"/>
    </xf>
    <xf numFmtId="0" fontId="161" fillId="24" borderId="73" xfId="0" applyFont="1" applyFill="1" applyBorder="1" applyAlignment="1">
      <alignment horizontal="center" vertical="center" wrapText="1"/>
    </xf>
    <xf numFmtId="0" fontId="161" fillId="24" borderId="75" xfId="0" applyFont="1" applyFill="1" applyBorder="1" applyAlignment="1">
      <alignment horizontal="center" vertical="center" wrapText="1"/>
    </xf>
    <xf numFmtId="0" fontId="161" fillId="24" borderId="74" xfId="0" applyFont="1" applyFill="1" applyBorder="1" applyAlignment="1">
      <alignment horizontal="center" vertical="center" wrapText="1"/>
    </xf>
    <xf numFmtId="0" fontId="151" fillId="24" borderId="71" xfId="0" applyFont="1" applyFill="1" applyBorder="1" applyAlignment="1">
      <alignment horizontal="center" vertical="center" wrapText="1"/>
    </xf>
    <xf numFmtId="0" fontId="151" fillId="24" borderId="50" xfId="0" applyFont="1" applyFill="1" applyBorder="1" applyAlignment="1">
      <alignment horizontal="center" vertical="center" wrapText="1"/>
    </xf>
    <xf numFmtId="0" fontId="114" fillId="24" borderId="0" xfId="0" applyFont="1" applyFill="1" applyAlignment="1">
      <alignment horizontal="center" wrapText="1"/>
    </xf>
    <xf numFmtId="0" fontId="115" fillId="0" borderId="71" xfId="0" applyFont="1" applyBorder="1" applyAlignment="1">
      <alignment horizontal="center" vertical="center" wrapText="1"/>
    </xf>
    <xf numFmtId="0" fontId="115" fillId="0" borderId="50" xfId="0" applyFont="1" applyBorder="1" applyAlignment="1">
      <alignment horizontal="center" vertical="center" wrapText="1"/>
    </xf>
    <xf numFmtId="0" fontId="115" fillId="0" borderId="51" xfId="0" applyFont="1" applyBorder="1" applyAlignment="1">
      <alignment horizontal="center" vertical="center" wrapText="1"/>
    </xf>
    <xf numFmtId="0" fontId="111" fillId="21" borderId="0" xfId="0" applyFont="1" applyFill="1" applyAlignment="1">
      <alignment horizontal="center" vertical="center" wrapText="1"/>
    </xf>
    <xf numFmtId="0" fontId="113" fillId="58" borderId="64" xfId="17" applyFont="1" applyFill="1" applyBorder="1" applyAlignment="1">
      <alignment horizontal="center" vertical="center"/>
    </xf>
    <xf numFmtId="0" fontId="113" fillId="58" borderId="200" xfId="17" applyFont="1" applyFill="1" applyBorder="1" applyAlignment="1">
      <alignment horizontal="center" vertical="center"/>
    </xf>
    <xf numFmtId="0" fontId="115" fillId="58" borderId="71" xfId="0" applyFont="1" applyFill="1" applyBorder="1" applyAlignment="1">
      <alignment horizontal="center" vertical="center"/>
    </xf>
    <xf numFmtId="0" fontId="115" fillId="58" borderId="50" xfId="0" applyFont="1" applyFill="1" applyBorder="1" applyAlignment="1">
      <alignment horizontal="center" vertical="center"/>
    </xf>
    <xf numFmtId="0" fontId="115" fillId="58" borderId="51" xfId="0" applyFont="1" applyFill="1" applyBorder="1" applyAlignment="1">
      <alignment horizontal="center" vertical="center"/>
    </xf>
    <xf numFmtId="0" fontId="0" fillId="27" borderId="25" xfId="0" applyFill="1" applyBorder="1" applyAlignment="1">
      <alignment horizontal="center" vertical="center"/>
    </xf>
    <xf numFmtId="0" fontId="0" fillId="27" borderId="14" xfId="0" applyFill="1" applyBorder="1" applyAlignment="1">
      <alignment horizontal="center" vertical="center"/>
    </xf>
    <xf numFmtId="0" fontId="0" fillId="27" borderId="22" xfId="0" applyFill="1" applyBorder="1" applyAlignment="1">
      <alignment horizontal="center" vertical="center"/>
    </xf>
    <xf numFmtId="0" fontId="164" fillId="24" borderId="0" xfId="0" applyFont="1" applyFill="1" applyAlignment="1">
      <alignment horizontal="center" vertical="center" wrapText="1"/>
    </xf>
    <xf numFmtId="0" fontId="0" fillId="21" borderId="1" xfId="0" applyFill="1" applyBorder="1" applyAlignment="1">
      <alignment horizontal="center"/>
    </xf>
    <xf numFmtId="0" fontId="89" fillId="78" borderId="71" xfId="0" applyFont="1" applyFill="1" applyBorder="1" applyAlignment="1">
      <alignment horizontal="center" vertical="center"/>
    </xf>
    <xf numFmtId="0" fontId="89" fillId="78" borderId="50" xfId="0" applyFont="1" applyFill="1" applyBorder="1" applyAlignment="1">
      <alignment horizontal="center" vertical="center"/>
    </xf>
    <xf numFmtId="0" fontId="89" fillId="78" borderId="51" xfId="0" applyFont="1" applyFill="1" applyBorder="1" applyAlignment="1">
      <alignment horizontal="center" vertical="center"/>
    </xf>
    <xf numFmtId="0" fontId="0" fillId="0" borderId="0" xfId="0" applyAlignment="1">
      <alignment horizontal="center" vertical="center"/>
    </xf>
    <xf numFmtId="0" fontId="169" fillId="60" borderId="0" xfId="0" applyFont="1" applyFill="1" applyAlignment="1">
      <alignment horizontal="center" vertical="center" wrapText="1"/>
    </xf>
    <xf numFmtId="0" fontId="167" fillId="21" borderId="40" xfId="0" applyFont="1" applyFill="1" applyBorder="1" applyAlignment="1">
      <alignment vertical="top" wrapText="1"/>
    </xf>
    <xf numFmtId="0" fontId="167" fillId="21" borderId="0" xfId="0" applyFont="1" applyFill="1" applyAlignment="1">
      <alignment vertical="top" wrapText="1"/>
    </xf>
    <xf numFmtId="0" fontId="14" fillId="59" borderId="39" xfId="7" applyFont="1" applyFill="1" applyBorder="1" applyAlignment="1">
      <alignment horizontal="center" vertical="center" wrapText="1"/>
    </xf>
    <xf numFmtId="0" fontId="14" fillId="59" borderId="41" xfId="7" applyFont="1" applyFill="1" applyBorder="1" applyAlignment="1">
      <alignment horizontal="center" vertical="center" wrapText="1"/>
    </xf>
    <xf numFmtId="0" fontId="36" fillId="32" borderId="26" xfId="7" applyFont="1" applyFill="1" applyBorder="1" applyAlignment="1">
      <alignment horizontal="center" vertical="center"/>
    </xf>
    <xf numFmtId="0" fontId="36" fillId="32" borderId="32" xfId="7" applyFont="1" applyFill="1" applyBorder="1" applyAlignment="1">
      <alignment horizontal="center" vertical="center"/>
    </xf>
    <xf numFmtId="0" fontId="168" fillId="0" borderId="56" xfId="0" applyFont="1" applyBorder="1" applyAlignment="1">
      <alignment horizontal="center" vertical="center" wrapText="1"/>
    </xf>
    <xf numFmtId="0" fontId="168" fillId="0" borderId="41" xfId="0" applyFont="1" applyBorder="1" applyAlignment="1">
      <alignment horizontal="center" vertical="center" wrapText="1"/>
    </xf>
    <xf numFmtId="0" fontId="168" fillId="0" borderId="15" xfId="0" applyFont="1" applyBorder="1" applyAlignment="1">
      <alignment horizontal="center" vertical="center" wrapText="1"/>
    </xf>
    <xf numFmtId="0" fontId="168" fillId="0" borderId="43" xfId="0" applyFont="1" applyBorder="1" applyAlignment="1">
      <alignment horizontal="center" vertical="center" wrapText="1"/>
    </xf>
    <xf numFmtId="0" fontId="168" fillId="0" borderId="61" xfId="0" applyFont="1" applyBorder="1" applyAlignment="1">
      <alignment horizontal="center" vertical="center" wrapText="1"/>
    </xf>
    <xf numFmtId="0" fontId="168" fillId="0" borderId="37" xfId="0" applyFont="1" applyBorder="1" applyAlignment="1">
      <alignment horizontal="center" vertical="center" wrapText="1"/>
    </xf>
    <xf numFmtId="0" fontId="170" fillId="60" borderId="0" xfId="20" applyFont="1" applyFill="1" applyAlignment="1">
      <alignment horizontal="center" vertical="center" wrapText="1"/>
    </xf>
    <xf numFmtId="0" fontId="170" fillId="60" borderId="0" xfId="20" applyFont="1" applyFill="1" applyAlignment="1">
      <alignment horizontal="center" vertical="center"/>
    </xf>
    <xf numFmtId="0" fontId="31" fillId="0" borderId="5" xfId="20" applyFont="1" applyBorder="1" applyAlignment="1">
      <alignment horizontal="center"/>
    </xf>
    <xf numFmtId="0" fontId="11" fillId="0" borderId="18" xfId="20" applyBorder="1" applyAlignment="1">
      <alignment horizontal="center"/>
    </xf>
    <xf numFmtId="0" fontId="11" fillId="0" borderId="16" xfId="20" applyBorder="1" applyAlignment="1">
      <alignment horizontal="center"/>
    </xf>
    <xf numFmtId="0" fontId="11" fillId="0" borderId="17" xfId="20" applyBorder="1" applyAlignment="1">
      <alignment horizontal="center"/>
    </xf>
    <xf numFmtId="0" fontId="29" fillId="0" borderId="0" xfId="20" applyFont="1" applyAlignment="1">
      <alignment horizontal="center" vertical="center" wrapText="1"/>
    </xf>
    <xf numFmtId="0" fontId="48" fillId="21" borderId="0" xfId="12" applyFont="1" applyFill="1" applyAlignment="1">
      <alignment horizontal="center" vertical="center" wrapText="1"/>
    </xf>
    <xf numFmtId="0" fontId="4" fillId="0" borderId="0" xfId="12" applyAlignment="1">
      <alignment horizontal="center"/>
    </xf>
    <xf numFmtId="0" fontId="4" fillId="0" borderId="58" xfId="12" applyBorder="1" applyAlignment="1">
      <alignment horizontal="center" vertical="center"/>
    </xf>
    <xf numFmtId="0" fontId="4" fillId="0" borderId="60" xfId="12" applyBorder="1" applyAlignment="1">
      <alignment horizontal="center" vertical="center"/>
    </xf>
    <xf numFmtId="0" fontId="105" fillId="54" borderId="0" xfId="12" applyFont="1" applyFill="1" applyAlignment="1">
      <alignment horizontal="center"/>
    </xf>
    <xf numFmtId="0" fontId="109" fillId="54" borderId="0" xfId="12" applyFont="1" applyFill="1" applyAlignment="1">
      <alignment horizontal="center" vertical="center"/>
    </xf>
    <xf numFmtId="16" fontId="43" fillId="0" borderId="1" xfId="0" applyNumberFormat="1" applyFont="1" applyBorder="1" applyAlignment="1">
      <alignment horizontal="center" vertical="center"/>
    </xf>
    <xf numFmtId="0" fontId="43" fillId="0" borderId="1" xfId="0" applyFont="1" applyBorder="1" applyAlignment="1">
      <alignment horizontal="center" vertical="center"/>
    </xf>
    <xf numFmtId="0" fontId="43" fillId="21" borderId="1" xfId="0" applyFont="1" applyFill="1" applyBorder="1" applyAlignment="1">
      <alignment horizontal="center" vertical="center" wrapText="1"/>
    </xf>
    <xf numFmtId="49" fontId="43" fillId="21" borderId="1" xfId="0" quotePrefix="1" applyNumberFormat="1" applyFont="1" applyFill="1" applyBorder="1" applyAlignment="1">
      <alignment horizontal="center" vertical="center"/>
    </xf>
    <xf numFmtId="49" fontId="43" fillId="21" borderId="1" xfId="0" applyNumberFormat="1" applyFont="1" applyFill="1" applyBorder="1" applyAlignment="1">
      <alignment horizontal="center" vertical="center"/>
    </xf>
    <xf numFmtId="0" fontId="43" fillId="21" borderId="1" xfId="0" applyFont="1" applyFill="1" applyBorder="1" applyAlignment="1">
      <alignment horizontal="center" vertical="center"/>
    </xf>
    <xf numFmtId="0" fontId="88" fillId="32" borderId="1" xfId="0" applyFont="1" applyFill="1" applyBorder="1" applyAlignment="1">
      <alignment horizontal="center" wrapText="1"/>
    </xf>
    <xf numFmtId="0" fontId="88" fillId="32" borderId="1" xfId="0" applyFont="1" applyFill="1" applyBorder="1" applyAlignment="1">
      <alignment horizontal="center"/>
    </xf>
    <xf numFmtId="0" fontId="43" fillId="21" borderId="1" xfId="0" applyFont="1" applyFill="1" applyBorder="1" applyAlignment="1">
      <alignment horizontal="center"/>
    </xf>
    <xf numFmtId="0" fontId="43" fillId="21" borderId="1" xfId="0" quotePrefix="1" applyFont="1" applyFill="1" applyBorder="1" applyAlignment="1">
      <alignment horizontal="center" vertical="center"/>
    </xf>
    <xf numFmtId="0" fontId="88" fillId="32" borderId="1" xfId="0" applyFont="1" applyFill="1" applyBorder="1" applyAlignment="1">
      <alignment horizontal="left" wrapText="1"/>
    </xf>
    <xf numFmtId="0" fontId="88" fillId="32" borderId="1" xfId="0" applyFont="1" applyFill="1" applyBorder="1" applyAlignment="1">
      <alignment horizontal="left"/>
    </xf>
    <xf numFmtId="0" fontId="88" fillId="21" borderId="1" xfId="0" applyFont="1" applyFill="1" applyBorder="1" applyAlignment="1">
      <alignment horizontal="center"/>
    </xf>
    <xf numFmtId="0" fontId="88" fillId="21" borderId="1" xfId="0" applyFont="1" applyFill="1" applyBorder="1" applyAlignment="1">
      <alignment horizontal="center" wrapText="1"/>
    </xf>
    <xf numFmtId="14" fontId="88" fillId="0" borderId="1" xfId="0" applyNumberFormat="1" applyFont="1" applyBorder="1" applyAlignment="1">
      <alignment horizontal="center"/>
    </xf>
    <xf numFmtId="0" fontId="88" fillId="0" borderId="1" xfId="0" applyFont="1" applyBorder="1" applyAlignment="1">
      <alignment horizontal="center"/>
    </xf>
    <xf numFmtId="0" fontId="88" fillId="32" borderId="1" xfId="0" quotePrefix="1" applyFont="1" applyFill="1" applyBorder="1" applyAlignment="1">
      <alignment horizontal="center"/>
    </xf>
    <xf numFmtId="2" fontId="88" fillId="0" borderId="1" xfId="0" applyNumberFormat="1" applyFont="1" applyBorder="1" applyAlignment="1">
      <alignment horizontal="center"/>
    </xf>
    <xf numFmtId="0" fontId="43" fillId="0" borderId="42" xfId="0" applyFont="1" applyBorder="1" applyAlignment="1">
      <alignment horizontal="left" vertical="center" wrapText="1"/>
    </xf>
    <xf numFmtId="0" fontId="43" fillId="0" borderId="0" xfId="0" applyFont="1" applyAlignment="1">
      <alignment horizontal="left" vertical="center" wrapText="1"/>
    </xf>
    <xf numFmtId="0" fontId="33" fillId="0" borderId="45" xfId="0" applyFont="1" applyBorder="1" applyAlignment="1">
      <alignment horizontal="center" vertical="center"/>
    </xf>
    <xf numFmtId="0" fontId="88" fillId="0" borderId="38" xfId="0" quotePrefix="1" applyFont="1" applyBorder="1" applyAlignment="1">
      <alignment horizontal="center" vertical="center" wrapText="1"/>
    </xf>
    <xf numFmtId="0" fontId="88" fillId="0" borderId="35" xfId="0" quotePrefix="1" applyFont="1" applyBorder="1" applyAlignment="1">
      <alignment horizontal="center" vertical="center" wrapText="1"/>
    </xf>
    <xf numFmtId="0" fontId="46" fillId="0" borderId="0" xfId="0" applyFont="1" applyAlignment="1">
      <alignment horizontal="left" vertical="center"/>
    </xf>
    <xf numFmtId="0" fontId="46" fillId="0" borderId="43" xfId="0" applyFont="1" applyBorder="1" applyAlignment="1">
      <alignment horizontal="left" vertical="center"/>
    </xf>
    <xf numFmtId="0" fontId="43" fillId="0" borderId="0" xfId="0" applyFont="1" applyAlignment="1">
      <alignment horizontal="left" vertical="center"/>
    </xf>
    <xf numFmtId="0" fontId="43" fillId="0" borderId="43" xfId="0" applyFont="1" applyBorder="1" applyAlignment="1">
      <alignment horizontal="left" vertical="center"/>
    </xf>
    <xf numFmtId="0" fontId="43" fillId="0" borderId="43" xfId="0" applyFont="1" applyBorder="1" applyAlignment="1">
      <alignment horizontal="left" vertical="center" wrapText="1"/>
    </xf>
    <xf numFmtId="0" fontId="87" fillId="0" borderId="1" xfId="0" applyFont="1" applyBorder="1" applyAlignment="1">
      <alignment horizontal="center"/>
    </xf>
    <xf numFmtId="0" fontId="87" fillId="0" borderId="1" xfId="0" applyFont="1" applyBorder="1" applyAlignment="1">
      <alignment horizontal="left" wrapText="1"/>
    </xf>
    <xf numFmtId="0" fontId="87" fillId="0" borderId="0" xfId="0" applyFont="1" applyAlignment="1">
      <alignment horizontal="left" wrapText="1"/>
    </xf>
    <xf numFmtId="0" fontId="88" fillId="32" borderId="1" xfId="0" quotePrefix="1" applyFont="1" applyFill="1" applyBorder="1" applyAlignment="1">
      <alignment horizontal="center" wrapText="1"/>
    </xf>
    <xf numFmtId="0" fontId="88" fillId="32" borderId="1" xfId="0" quotePrefix="1" applyFont="1" applyFill="1" applyBorder="1" applyAlignment="1">
      <alignment horizontal="center" vertical="center"/>
    </xf>
    <xf numFmtId="0" fontId="88" fillId="32" borderId="1" xfId="0" applyFont="1" applyFill="1" applyBorder="1" applyAlignment="1">
      <alignment horizontal="center" vertical="center"/>
    </xf>
    <xf numFmtId="0" fontId="85" fillId="0" borderId="15" xfId="0" applyFont="1" applyBorder="1" applyAlignment="1">
      <alignment horizontal="center" wrapText="1"/>
    </xf>
    <xf numFmtId="0" fontId="85" fillId="0" borderId="0" xfId="0" applyFont="1" applyAlignment="1">
      <alignment horizontal="center" wrapText="1"/>
    </xf>
    <xf numFmtId="0" fontId="93" fillId="0" borderId="0" xfId="0" applyFont="1" applyAlignment="1">
      <alignment horizontal="center" vertical="center" wrapText="1"/>
    </xf>
    <xf numFmtId="0" fontId="26" fillId="28" borderId="13" xfId="7" applyFont="1" applyFill="1" applyBorder="1" applyAlignment="1">
      <alignment horizontal="left" vertical="center"/>
    </xf>
    <xf numFmtId="0" fontId="26" fillId="28" borderId="88" xfId="7" applyFont="1" applyFill="1" applyBorder="1" applyAlignment="1">
      <alignment horizontal="left" vertical="center"/>
    </xf>
    <xf numFmtId="0" fontId="26" fillId="28" borderId="26" xfId="7" applyFont="1" applyFill="1" applyBorder="1" applyAlignment="1">
      <alignment horizontal="left" vertical="center"/>
    </xf>
    <xf numFmtId="0" fontId="26" fillId="28" borderId="32" xfId="7" applyFont="1" applyFill="1" applyBorder="1" applyAlignment="1">
      <alignment horizontal="left" vertical="center"/>
    </xf>
    <xf numFmtId="167" fontId="16" fillId="9" borderId="7" xfId="1" applyFont="1" applyFill="1" applyBorder="1" applyAlignment="1">
      <alignment horizontal="center" vertical="center"/>
    </xf>
    <xf numFmtId="167" fontId="16" fillId="9" borderId="8" xfId="1" applyFont="1" applyFill="1" applyBorder="1" applyAlignment="1">
      <alignment horizontal="center" vertical="center"/>
    </xf>
    <xf numFmtId="167" fontId="16" fillId="9" borderId="3" xfId="1" applyFont="1" applyFill="1" applyBorder="1" applyAlignment="1">
      <alignment horizontal="center" vertical="center"/>
    </xf>
    <xf numFmtId="167" fontId="13" fillId="9" borderId="7" xfId="1" applyFont="1" applyFill="1" applyBorder="1" applyAlignment="1">
      <alignment horizontal="center" vertical="center"/>
    </xf>
    <xf numFmtId="167" fontId="13" fillId="9" borderId="8" xfId="1" applyFont="1" applyFill="1" applyBorder="1" applyAlignment="1">
      <alignment horizontal="center" vertical="center"/>
    </xf>
    <xf numFmtId="167" fontId="13" fillId="9" borderId="3" xfId="1" applyFont="1" applyFill="1" applyBorder="1" applyAlignment="1">
      <alignment horizontal="center" vertical="center"/>
    </xf>
    <xf numFmtId="0" fontId="13" fillId="20" borderId="50" xfId="0" applyFont="1" applyFill="1" applyBorder="1" applyAlignment="1">
      <alignment horizontal="center" vertical="center"/>
    </xf>
    <xf numFmtId="0" fontId="13" fillId="20" borderId="7" xfId="0" applyFont="1" applyFill="1" applyBorder="1" applyAlignment="1">
      <alignment horizontal="center" vertical="center"/>
    </xf>
    <xf numFmtId="0" fontId="13" fillId="20" borderId="8" xfId="0" applyFont="1" applyFill="1" applyBorder="1" applyAlignment="1">
      <alignment horizontal="center" vertical="center"/>
    </xf>
    <xf numFmtId="0" fontId="13" fillId="20" borderId="3" xfId="0" applyFont="1" applyFill="1" applyBorder="1" applyAlignment="1">
      <alignment horizontal="center" vertical="center"/>
    </xf>
    <xf numFmtId="0" fontId="117" fillId="0" borderId="7" xfId="0" applyFont="1" applyBorder="1" applyAlignment="1">
      <alignment horizontal="center" vertical="center" wrapText="1"/>
    </xf>
    <xf numFmtId="0" fontId="117" fillId="0" borderId="8" xfId="0" applyFont="1" applyBorder="1" applyAlignment="1">
      <alignment horizontal="center" vertical="center" wrapText="1"/>
    </xf>
    <xf numFmtId="0" fontId="117" fillId="0" borderId="3" xfId="0" applyFont="1" applyBorder="1" applyAlignment="1">
      <alignment horizontal="center" vertical="center" wrapText="1"/>
    </xf>
    <xf numFmtId="0" fontId="117" fillId="0" borderId="7" xfId="0" applyFont="1" applyBorder="1" applyAlignment="1">
      <alignment horizontal="center" vertical="center"/>
    </xf>
    <xf numFmtId="0" fontId="117" fillId="0" borderId="8" xfId="0" applyFont="1" applyBorder="1" applyAlignment="1">
      <alignment horizontal="center" vertical="center"/>
    </xf>
    <xf numFmtId="0" fontId="117" fillId="0" borderId="3" xfId="0" applyFont="1" applyBorder="1" applyAlignment="1">
      <alignment horizontal="center" vertical="center"/>
    </xf>
    <xf numFmtId="0" fontId="95" fillId="28" borderId="46" xfId="7" applyFont="1" applyFill="1" applyBorder="1" applyAlignment="1">
      <alignment horizontal="center" vertical="center"/>
    </xf>
    <xf numFmtId="0" fontId="95" fillId="28" borderId="48" xfId="7" applyFont="1" applyFill="1" applyBorder="1" applyAlignment="1">
      <alignment horizontal="center" vertical="center"/>
    </xf>
    <xf numFmtId="0" fontId="95" fillId="28" borderId="7" xfId="7" applyFont="1" applyFill="1" applyBorder="1" applyAlignment="1">
      <alignment horizontal="center" vertical="center"/>
    </xf>
    <xf numFmtId="0" fontId="95" fillId="28" borderId="3" xfId="7" applyFont="1" applyFill="1" applyBorder="1" applyAlignment="1">
      <alignment horizontal="center" vertical="center"/>
    </xf>
    <xf numFmtId="0" fontId="144" fillId="0" borderId="36" xfId="0" applyFont="1" applyBorder="1" applyAlignment="1">
      <alignment horizontal="center"/>
    </xf>
    <xf numFmtId="0" fontId="118" fillId="61" borderId="18" xfId="0" applyFont="1" applyFill="1" applyBorder="1" applyAlignment="1" applyProtection="1">
      <alignment horizontal="center" vertical="center" wrapText="1"/>
      <protection locked="0"/>
    </xf>
    <xf numFmtId="0" fontId="118" fillId="61" borderId="16" xfId="0" applyFont="1" applyFill="1" applyBorder="1" applyAlignment="1" applyProtection="1">
      <alignment horizontal="center" vertical="center" wrapText="1"/>
      <protection locked="0"/>
    </xf>
    <xf numFmtId="0" fontId="119" fillId="20" borderId="0" xfId="0" applyFont="1" applyFill="1" applyAlignment="1">
      <alignment horizontal="left" vertical="center" wrapText="1"/>
    </xf>
    <xf numFmtId="0" fontId="90" fillId="61" borderId="18" xfId="0" applyFont="1" applyFill="1" applyBorder="1" applyAlignment="1">
      <alignment horizontal="center" vertical="center" wrapText="1"/>
    </xf>
    <xf numFmtId="0" fontId="90" fillId="61" borderId="16" xfId="0" applyFont="1" applyFill="1" applyBorder="1" applyAlignment="1">
      <alignment horizontal="center" vertical="center" wrapText="1"/>
    </xf>
    <xf numFmtId="0" fontId="90" fillId="61" borderId="17" xfId="0" applyFont="1" applyFill="1" applyBorder="1" applyAlignment="1">
      <alignment horizontal="center" vertical="center" wrapText="1"/>
    </xf>
    <xf numFmtId="2" fontId="118" fillId="65" borderId="13" xfId="0" applyNumberFormat="1" applyFont="1" applyFill="1" applyBorder="1" applyAlignment="1">
      <alignment horizontal="center" vertical="center"/>
    </xf>
    <xf numFmtId="2" fontId="118" fillId="65" borderId="11" xfId="0" applyNumberFormat="1" applyFont="1" applyFill="1" applyBorder="1" applyAlignment="1">
      <alignment horizontal="center" vertical="center"/>
    </xf>
    <xf numFmtId="2" fontId="118" fillId="65" borderId="12" xfId="0" applyNumberFormat="1" applyFont="1" applyFill="1" applyBorder="1" applyAlignment="1">
      <alignment horizontal="center" vertical="center"/>
    </xf>
    <xf numFmtId="2" fontId="118" fillId="65" borderId="18" xfId="0" applyNumberFormat="1" applyFont="1" applyFill="1" applyBorder="1" applyAlignment="1">
      <alignment horizontal="center" vertical="center"/>
    </xf>
    <xf numFmtId="2" fontId="118" fillId="65" borderId="16" xfId="0" applyNumberFormat="1" applyFont="1" applyFill="1" applyBorder="1" applyAlignment="1">
      <alignment horizontal="center" vertical="center"/>
    </xf>
    <xf numFmtId="2" fontId="118" fillId="65" borderId="17" xfId="0" applyNumberFormat="1" applyFont="1" applyFill="1" applyBorder="1" applyAlignment="1">
      <alignment horizontal="center" vertical="center"/>
    </xf>
    <xf numFmtId="0" fontId="120" fillId="61" borderId="29" xfId="10" applyFont="1" applyFill="1" applyBorder="1" applyAlignment="1" applyProtection="1">
      <alignment horizontal="center" vertical="center" wrapText="1"/>
      <protection locked="0"/>
    </xf>
    <xf numFmtId="0" fontId="118" fillId="61" borderId="1" xfId="0" applyFont="1" applyFill="1" applyBorder="1" applyAlignment="1" applyProtection="1">
      <alignment horizontal="center" vertical="center" wrapText="1"/>
      <protection locked="0"/>
    </xf>
    <xf numFmtId="0" fontId="118" fillId="61" borderId="30" xfId="0" applyFont="1" applyFill="1" applyBorder="1" applyAlignment="1" applyProtection="1">
      <alignment horizontal="center" vertical="center" wrapText="1"/>
      <protection locked="0"/>
    </xf>
    <xf numFmtId="0" fontId="118" fillId="61" borderId="18" xfId="0" applyFont="1" applyFill="1" applyBorder="1" applyAlignment="1" applyProtection="1">
      <alignment horizontal="center" vertical="center"/>
      <protection locked="0"/>
    </xf>
    <xf numFmtId="0" fontId="118" fillId="61" borderId="16" xfId="0" applyFont="1" applyFill="1" applyBorder="1" applyAlignment="1" applyProtection="1">
      <alignment horizontal="center" vertical="center"/>
      <protection locked="0"/>
    </xf>
    <xf numFmtId="0" fontId="118" fillId="61" borderId="35" xfId="0" applyFont="1" applyFill="1" applyBorder="1" applyAlignment="1" applyProtection="1">
      <alignment horizontal="center" vertical="center"/>
      <protection locked="0"/>
    </xf>
    <xf numFmtId="0" fontId="90" fillId="61" borderId="13" xfId="0" applyFont="1" applyFill="1" applyBorder="1" applyAlignment="1">
      <alignment horizontal="center" vertical="center" wrapText="1"/>
    </xf>
    <xf numFmtId="0" fontId="90" fillId="61" borderId="11" xfId="0" applyFont="1" applyFill="1" applyBorder="1" applyAlignment="1">
      <alignment horizontal="center" vertical="center" wrapText="1"/>
    </xf>
    <xf numFmtId="0" fontId="90" fillId="61" borderId="12" xfId="0" applyFont="1" applyFill="1" applyBorder="1" applyAlignment="1">
      <alignment horizontal="center" vertical="center" wrapText="1"/>
    </xf>
    <xf numFmtId="0" fontId="120" fillId="61" borderId="18" xfId="10" applyFont="1" applyFill="1" applyBorder="1" applyAlignment="1" applyProtection="1">
      <alignment horizontal="center" vertical="center" wrapText="1"/>
      <protection locked="0"/>
    </xf>
    <xf numFmtId="0" fontId="120" fillId="61" borderId="16" xfId="10" applyFont="1" applyFill="1" applyBorder="1" applyAlignment="1" applyProtection="1">
      <alignment horizontal="center" vertical="center" wrapText="1"/>
      <protection locked="0"/>
    </xf>
    <xf numFmtId="0" fontId="120" fillId="61" borderId="17" xfId="10" applyFont="1" applyFill="1" applyBorder="1" applyAlignment="1" applyProtection="1">
      <alignment horizontal="center" vertical="center" wrapText="1"/>
      <protection locked="0"/>
    </xf>
    <xf numFmtId="14" fontId="118" fillId="61" borderId="29" xfId="0" applyNumberFormat="1" applyFont="1" applyFill="1" applyBorder="1" applyAlignment="1" applyProtection="1">
      <alignment horizontal="center" vertical="center"/>
      <protection locked="0"/>
    </xf>
    <xf numFmtId="14" fontId="118" fillId="61" borderId="1" xfId="0" applyNumberFormat="1" applyFont="1" applyFill="1" applyBorder="1" applyAlignment="1" applyProtection="1">
      <alignment horizontal="center" vertical="center"/>
      <protection locked="0"/>
    </xf>
    <xf numFmtId="14" fontId="118" fillId="61" borderId="30" xfId="0" applyNumberFormat="1" applyFont="1" applyFill="1" applyBorder="1" applyAlignment="1" applyProtection="1">
      <alignment horizontal="center" vertical="center"/>
      <protection locked="0"/>
    </xf>
    <xf numFmtId="14" fontId="118" fillId="62" borderId="29" xfId="0" applyNumberFormat="1" applyFont="1" applyFill="1" applyBorder="1" applyAlignment="1" applyProtection="1">
      <alignment horizontal="center" vertical="center"/>
      <protection locked="0"/>
    </xf>
    <xf numFmtId="14" fontId="118" fillId="62" borderId="1" xfId="0" applyNumberFormat="1" applyFont="1" applyFill="1" applyBorder="1" applyAlignment="1" applyProtection="1">
      <alignment horizontal="center" vertical="center"/>
      <protection locked="0"/>
    </xf>
    <xf numFmtId="14" fontId="118" fillId="62" borderId="30" xfId="0" applyNumberFormat="1" applyFont="1" applyFill="1" applyBorder="1" applyAlignment="1" applyProtection="1">
      <alignment horizontal="center" vertical="center"/>
      <protection locked="0"/>
    </xf>
    <xf numFmtId="196" fontId="118" fillId="62" borderId="29" xfId="0" applyNumberFormat="1" applyFont="1" applyFill="1" applyBorder="1" applyAlignment="1" applyProtection="1">
      <alignment horizontal="center" vertical="center"/>
      <protection locked="0"/>
    </xf>
    <xf numFmtId="196" fontId="118" fillId="62" borderId="1" xfId="0" applyNumberFormat="1" applyFont="1" applyFill="1" applyBorder="1" applyAlignment="1" applyProtection="1">
      <alignment horizontal="center" vertical="center"/>
      <protection locked="0"/>
    </xf>
    <xf numFmtId="196" fontId="118" fillId="62" borderId="30" xfId="0" applyNumberFormat="1" applyFont="1" applyFill="1" applyBorder="1" applyAlignment="1" applyProtection="1">
      <alignment horizontal="center" vertical="center"/>
      <protection locked="0"/>
    </xf>
    <xf numFmtId="178" fontId="118" fillId="62" borderId="58" xfId="0" applyNumberFormat="1" applyFont="1" applyFill="1" applyBorder="1" applyAlignment="1" applyProtection="1">
      <alignment horizontal="center" vertical="center"/>
      <protection locked="0"/>
    </xf>
    <xf numFmtId="178" fontId="118" fillId="62" borderId="59" xfId="0" applyNumberFormat="1" applyFont="1" applyFill="1" applyBorder="1" applyAlignment="1" applyProtection="1">
      <alignment horizontal="center" vertical="center"/>
      <protection locked="0"/>
    </xf>
    <xf numFmtId="178" fontId="118" fillId="62" borderId="60" xfId="0" applyNumberFormat="1" applyFont="1" applyFill="1" applyBorder="1" applyAlignment="1" applyProtection="1">
      <alignment horizontal="center" vertical="center"/>
      <protection locked="0"/>
    </xf>
    <xf numFmtId="0" fontId="15" fillId="61" borderId="13" xfId="0" applyFont="1" applyFill="1" applyBorder="1" applyAlignment="1" applyProtection="1">
      <alignment horizontal="center" vertical="center"/>
      <protection locked="0"/>
    </xf>
    <xf numFmtId="0" fontId="15" fillId="61" borderId="11" xfId="0" applyFont="1" applyFill="1" applyBorder="1" applyAlignment="1" applyProtection="1">
      <alignment horizontal="center" vertical="center"/>
      <protection locked="0"/>
    </xf>
    <xf numFmtId="0" fontId="15" fillId="61" borderId="89" xfId="0" applyFont="1" applyFill="1" applyBorder="1" applyAlignment="1" applyProtection="1">
      <alignment horizontal="center" vertical="center"/>
      <protection locked="0"/>
    </xf>
    <xf numFmtId="0" fontId="15" fillId="61" borderId="90" xfId="0" applyFont="1" applyFill="1" applyBorder="1" applyAlignment="1">
      <alignment horizontal="center" vertical="center"/>
    </xf>
    <xf numFmtId="0" fontId="15" fillId="61" borderId="12" xfId="0" applyFont="1" applyFill="1" applyBorder="1" applyAlignment="1">
      <alignment horizontal="center" vertical="center"/>
    </xf>
    <xf numFmtId="0" fontId="118" fillId="61" borderId="29" xfId="0" applyFont="1" applyFill="1" applyBorder="1" applyAlignment="1" applyProtection="1">
      <alignment horizontal="center" vertical="center" wrapText="1"/>
      <protection locked="0"/>
    </xf>
    <xf numFmtId="0" fontId="118" fillId="61" borderId="35" xfId="0" applyFont="1" applyFill="1" applyBorder="1" applyAlignment="1" applyProtection="1">
      <alignment horizontal="center" vertical="center" wrapText="1"/>
      <protection locked="0"/>
    </xf>
    <xf numFmtId="196" fontId="118" fillId="62" borderId="18" xfId="0" applyNumberFormat="1" applyFont="1" applyFill="1" applyBorder="1" applyAlignment="1" applyProtection="1">
      <alignment horizontal="center" vertical="center"/>
      <protection locked="0"/>
    </xf>
    <xf numFmtId="196" fontId="118" fillId="62" borderId="16" xfId="0" applyNumberFormat="1" applyFont="1" applyFill="1" applyBorder="1" applyAlignment="1" applyProtection="1">
      <alignment horizontal="center" vertical="center"/>
      <protection locked="0"/>
    </xf>
    <xf numFmtId="196" fontId="118" fillId="62" borderId="17" xfId="0" applyNumberFormat="1" applyFont="1" applyFill="1" applyBorder="1" applyAlignment="1" applyProtection="1">
      <alignment horizontal="center" vertical="center"/>
      <protection locked="0"/>
    </xf>
    <xf numFmtId="196" fontId="15" fillId="62" borderId="29" xfId="0" applyNumberFormat="1" applyFont="1" applyFill="1" applyBorder="1" applyAlignment="1">
      <alignment horizontal="center" vertical="center"/>
    </xf>
    <xf numFmtId="196" fontId="15" fillId="62" borderId="1" xfId="0" applyNumberFormat="1" applyFont="1" applyFill="1" applyBorder="1" applyAlignment="1">
      <alignment horizontal="center" vertical="center"/>
    </xf>
    <xf numFmtId="196" fontId="15" fillId="62" borderId="30" xfId="0" applyNumberFormat="1" applyFont="1" applyFill="1" applyBorder="1" applyAlignment="1">
      <alignment horizontal="center" vertical="center"/>
    </xf>
    <xf numFmtId="0" fontId="118" fillId="61" borderId="32" xfId="0" applyFont="1" applyFill="1" applyBorder="1" applyAlignment="1" applyProtection="1">
      <alignment horizontal="center" vertical="center"/>
      <protection locked="0"/>
    </xf>
    <xf numFmtId="0" fontId="118" fillId="61" borderId="33" xfId="0" applyFont="1" applyFill="1" applyBorder="1" applyAlignment="1" applyProtection="1">
      <alignment horizontal="center" vertical="center"/>
      <protection locked="0"/>
    </xf>
    <xf numFmtId="49" fontId="118" fillId="61" borderId="18" xfId="0" applyNumberFormat="1" applyFont="1" applyFill="1" applyBorder="1" applyAlignment="1" applyProtection="1">
      <alignment horizontal="center" vertical="center" wrapText="1"/>
      <protection locked="0"/>
    </xf>
    <xf numFmtId="49" fontId="118" fillId="61" borderId="16" xfId="0" applyNumberFormat="1" applyFont="1" applyFill="1" applyBorder="1" applyAlignment="1" applyProtection="1">
      <alignment horizontal="center" vertical="center" wrapText="1"/>
      <protection locked="0"/>
    </xf>
    <xf numFmtId="49" fontId="118" fillId="61" borderId="17" xfId="0" applyNumberFormat="1" applyFont="1" applyFill="1" applyBorder="1" applyAlignment="1" applyProtection="1">
      <alignment horizontal="center" vertical="center" wrapText="1"/>
      <protection locked="0"/>
    </xf>
    <xf numFmtId="14" fontId="118" fillId="62" borderId="63" xfId="0" applyNumberFormat="1" applyFont="1" applyFill="1" applyBorder="1" applyAlignment="1" applyProtection="1">
      <alignment horizontal="center" vertical="center"/>
      <protection locked="0"/>
    </xf>
    <xf numFmtId="14" fontId="118" fillId="62" borderId="2" xfId="0" applyNumberFormat="1" applyFont="1" applyFill="1" applyBorder="1" applyAlignment="1" applyProtection="1">
      <alignment horizontal="center" vertical="center"/>
      <protection locked="0"/>
    </xf>
    <xf numFmtId="14" fontId="118" fillId="62" borderId="67" xfId="0" applyNumberFormat="1" applyFont="1" applyFill="1" applyBorder="1" applyAlignment="1" applyProtection="1">
      <alignment horizontal="center" vertical="center"/>
      <protection locked="0"/>
    </xf>
    <xf numFmtId="0" fontId="118" fillId="61" borderId="29" xfId="0" quotePrefix="1" applyFont="1" applyFill="1" applyBorder="1" applyAlignment="1" applyProtection="1">
      <alignment horizontal="center" vertical="center" wrapText="1"/>
      <protection locked="0"/>
    </xf>
    <xf numFmtId="0" fontId="118" fillId="61" borderId="38" xfId="0" applyFont="1" applyFill="1" applyBorder="1" applyAlignment="1" applyProtection="1">
      <alignment horizontal="center" vertical="center"/>
      <protection locked="0"/>
    </xf>
    <xf numFmtId="0" fontId="118" fillId="61" borderId="17" xfId="0" applyFont="1" applyFill="1" applyBorder="1" applyAlignment="1" applyProtection="1">
      <alignment horizontal="center" vertical="center"/>
      <protection locked="0"/>
    </xf>
    <xf numFmtId="196" fontId="118" fillId="62" borderId="26" xfId="0" applyNumberFormat="1" applyFont="1" applyFill="1" applyBorder="1" applyAlignment="1" applyProtection="1">
      <alignment horizontal="center" vertical="center"/>
      <protection locked="0"/>
    </xf>
    <xf numFmtId="196" fontId="118" fillId="62" borderId="27" xfId="0" applyNumberFormat="1" applyFont="1" applyFill="1" applyBorder="1" applyAlignment="1" applyProtection="1">
      <alignment horizontal="center" vertical="center"/>
      <protection locked="0"/>
    </xf>
    <xf numFmtId="196" fontId="118" fillId="62" borderId="28" xfId="0" applyNumberFormat="1" applyFont="1" applyFill="1" applyBorder="1" applyAlignment="1" applyProtection="1">
      <alignment horizontal="center" vertical="center"/>
      <protection locked="0"/>
    </xf>
    <xf numFmtId="0" fontId="118" fillId="62" borderId="24" xfId="0" applyFont="1" applyFill="1" applyBorder="1" applyAlignment="1" applyProtection="1">
      <alignment horizontal="center" vertical="center"/>
      <protection locked="0"/>
    </xf>
    <xf numFmtId="0" fontId="118" fillId="62" borderId="5" xfId="0" applyFont="1" applyFill="1" applyBorder="1" applyAlignment="1" applyProtection="1">
      <alignment horizontal="center" vertical="center"/>
      <protection locked="0"/>
    </xf>
    <xf numFmtId="0" fontId="118" fillId="62" borderId="23" xfId="0" applyFont="1" applyFill="1" applyBorder="1" applyAlignment="1" applyProtection="1">
      <alignment horizontal="center" vertical="center"/>
      <protection locked="0"/>
    </xf>
    <xf numFmtId="49" fontId="118" fillId="62" borderId="18" xfId="0" applyNumberFormat="1" applyFont="1" applyFill="1" applyBorder="1" applyAlignment="1" applyProtection="1">
      <alignment horizontal="center" vertical="center" wrapText="1"/>
      <protection locked="0"/>
    </xf>
    <xf numFmtId="49" fontId="118" fillId="62" borderId="16" xfId="0" applyNumberFormat="1" applyFont="1" applyFill="1" applyBorder="1" applyAlignment="1" applyProtection="1">
      <alignment horizontal="center" vertical="center" wrapText="1"/>
      <protection locked="0"/>
    </xf>
    <xf numFmtId="49" fontId="118" fillId="62" borderId="17" xfId="0" applyNumberFormat="1" applyFont="1" applyFill="1" applyBorder="1" applyAlignment="1" applyProtection="1">
      <alignment horizontal="center" vertical="center" wrapText="1"/>
      <protection locked="0"/>
    </xf>
    <xf numFmtId="178" fontId="118" fillId="62" borderId="26" xfId="0" applyNumberFormat="1" applyFont="1" applyFill="1" applyBorder="1" applyAlignment="1" applyProtection="1">
      <alignment horizontal="center" vertical="center"/>
      <protection locked="0"/>
    </xf>
    <xf numFmtId="178" fontId="118" fillId="62" borderId="27" xfId="0" applyNumberFormat="1" applyFont="1" applyFill="1" applyBorder="1" applyAlignment="1" applyProtection="1">
      <alignment horizontal="center" vertical="center"/>
      <protection locked="0"/>
    </xf>
    <xf numFmtId="178" fontId="118" fillId="62" borderId="28" xfId="0" applyNumberFormat="1" applyFont="1" applyFill="1" applyBorder="1" applyAlignment="1" applyProtection="1">
      <alignment horizontal="center" vertical="center"/>
      <protection locked="0"/>
    </xf>
    <xf numFmtId="196" fontId="15" fillId="62" borderId="32" xfId="0" applyNumberFormat="1" applyFont="1" applyFill="1" applyBorder="1" applyAlignment="1">
      <alignment horizontal="center" vertical="center"/>
    </xf>
    <xf numFmtId="196" fontId="15" fillId="62" borderId="33" xfId="0" applyNumberFormat="1" applyFont="1" applyFill="1" applyBorder="1" applyAlignment="1">
      <alignment horizontal="center" vertical="center"/>
    </xf>
    <xf numFmtId="196" fontId="15" fillId="62" borderId="34" xfId="0" applyNumberFormat="1" applyFont="1" applyFill="1" applyBorder="1" applyAlignment="1">
      <alignment horizontal="center" vertical="center"/>
    </xf>
    <xf numFmtId="14" fontId="118" fillId="61" borderId="63" xfId="0" applyNumberFormat="1" applyFont="1" applyFill="1" applyBorder="1" applyAlignment="1" applyProtection="1">
      <alignment horizontal="center" vertical="center"/>
      <protection locked="0"/>
    </xf>
    <xf numFmtId="14" fontId="118" fillId="61" borderId="2" xfId="0" applyNumberFormat="1" applyFont="1" applyFill="1" applyBorder="1" applyAlignment="1" applyProtection="1">
      <alignment horizontal="center" vertical="center"/>
      <protection locked="0"/>
    </xf>
    <xf numFmtId="14" fontId="118" fillId="61" borderId="67" xfId="0" applyNumberFormat="1" applyFont="1" applyFill="1" applyBorder="1" applyAlignment="1" applyProtection="1">
      <alignment horizontal="center" vertical="center"/>
      <protection locked="0"/>
    </xf>
    <xf numFmtId="0" fontId="9" fillId="20" borderId="71" xfId="0" applyFont="1" applyFill="1" applyBorder="1" applyAlignment="1">
      <alignment vertical="center"/>
    </xf>
    <xf numFmtId="0" fontId="9" fillId="20" borderId="50" xfId="0" applyFont="1" applyFill="1" applyBorder="1" applyAlignment="1">
      <alignment vertical="center"/>
    </xf>
    <xf numFmtId="0" fontId="9" fillId="20" borderId="51" xfId="0" applyFont="1" applyFill="1" applyBorder="1" applyAlignment="1">
      <alignment vertical="center"/>
    </xf>
    <xf numFmtId="0" fontId="90" fillId="62" borderId="71" xfId="0" applyFont="1" applyFill="1" applyBorder="1" applyAlignment="1">
      <alignment horizontal="center" vertical="center"/>
    </xf>
    <xf numFmtId="0" fontId="90" fillId="62" borderId="50" xfId="0" applyFont="1" applyFill="1" applyBorder="1" applyAlignment="1">
      <alignment horizontal="center" vertical="center"/>
    </xf>
    <xf numFmtId="0" fontId="90" fillId="62" borderId="51" xfId="0" applyFont="1" applyFill="1" applyBorder="1" applyAlignment="1">
      <alignment horizontal="center" vertical="center"/>
    </xf>
    <xf numFmtId="0" fontId="12" fillId="70" borderId="71" xfId="0" applyFont="1" applyFill="1" applyBorder="1" applyAlignment="1">
      <alignment horizontal="left" vertical="center"/>
    </xf>
    <xf numFmtId="0" fontId="12" fillId="70" borderId="50" xfId="0" applyFont="1" applyFill="1" applyBorder="1" applyAlignment="1">
      <alignment horizontal="left" vertical="center"/>
    </xf>
    <xf numFmtId="0" fontId="12" fillId="70" borderId="51" xfId="0" applyFont="1" applyFill="1" applyBorder="1" applyAlignment="1">
      <alignment horizontal="left" vertical="center"/>
    </xf>
    <xf numFmtId="0" fontId="14" fillId="27" borderId="104" xfId="0" applyFont="1" applyFill="1" applyBorder="1" applyAlignment="1">
      <alignment horizontal="center" vertical="center" wrapText="1"/>
    </xf>
    <xf numFmtId="0" fontId="14" fillId="27" borderId="105" xfId="0" applyFont="1" applyFill="1" applyBorder="1" applyAlignment="1">
      <alignment horizontal="center" vertical="center" wrapText="1"/>
    </xf>
    <xf numFmtId="0" fontId="14" fillId="27" borderId="106" xfId="0" applyFont="1" applyFill="1" applyBorder="1" applyAlignment="1">
      <alignment horizontal="center" vertical="center" wrapText="1"/>
    </xf>
    <xf numFmtId="0" fontId="9" fillId="20" borderId="24" xfId="0" applyFont="1" applyFill="1" applyBorder="1" applyAlignment="1">
      <alignment horizontal="left" vertical="center"/>
    </xf>
    <xf numFmtId="0" fontId="9" fillId="20" borderId="5" xfId="0" applyFont="1" applyFill="1" applyBorder="1" applyAlignment="1">
      <alignment horizontal="left" vertical="center"/>
    </xf>
    <xf numFmtId="0" fontId="9" fillId="20" borderId="23" xfId="0" applyFont="1" applyFill="1" applyBorder="1" applyAlignment="1">
      <alignment horizontal="left" vertical="center"/>
    </xf>
    <xf numFmtId="0" fontId="90" fillId="62" borderId="159" xfId="0" applyFont="1" applyFill="1" applyBorder="1" applyAlignment="1">
      <alignment horizontal="center" vertical="center"/>
    </xf>
    <xf numFmtId="0" fontId="90" fillId="62" borderId="160" xfId="0" applyFont="1" applyFill="1" applyBorder="1" applyAlignment="1">
      <alignment horizontal="center" vertical="center"/>
    </xf>
    <xf numFmtId="0" fontId="90" fillId="62" borderId="161" xfId="0" applyFont="1" applyFill="1" applyBorder="1" applyAlignment="1">
      <alignment horizontal="center" vertical="center"/>
    </xf>
    <xf numFmtId="0" fontId="100" fillId="53" borderId="66" xfId="0" applyFont="1" applyFill="1" applyBorder="1" applyAlignment="1">
      <alignment horizontal="left"/>
    </xf>
    <xf numFmtId="0" fontId="100" fillId="53" borderId="65" xfId="0" applyFont="1" applyFill="1" applyBorder="1" applyAlignment="1">
      <alignment horizontal="left"/>
    </xf>
    <xf numFmtId="0" fontId="100" fillId="53" borderId="6" xfId="0" applyFont="1" applyFill="1" applyBorder="1" applyAlignment="1">
      <alignment horizontal="left"/>
    </xf>
    <xf numFmtId="0" fontId="130" fillId="20" borderId="71" xfId="0" applyFont="1" applyFill="1" applyBorder="1" applyAlignment="1">
      <alignment horizontal="center" vertical="center"/>
    </xf>
    <xf numFmtId="0" fontId="130" fillId="20" borderId="50" xfId="0" applyFont="1" applyFill="1" applyBorder="1" applyAlignment="1">
      <alignment horizontal="center" vertical="center"/>
    </xf>
    <xf numFmtId="0" fontId="130" fillId="20" borderId="51" xfId="0" applyFont="1" applyFill="1" applyBorder="1" applyAlignment="1">
      <alignment horizontal="center" vertical="center"/>
    </xf>
    <xf numFmtId="0" fontId="100" fillId="53" borderId="71" xfId="0" applyFont="1" applyFill="1" applyBorder="1" applyAlignment="1">
      <alignment horizontal="left"/>
    </xf>
    <xf numFmtId="0" fontId="100" fillId="53" borderId="50" xfId="0" applyFont="1" applyFill="1" applyBorder="1" applyAlignment="1">
      <alignment horizontal="left"/>
    </xf>
    <xf numFmtId="0" fontId="100" fillId="53" borderId="51" xfId="0" applyFont="1" applyFill="1" applyBorder="1" applyAlignment="1">
      <alignment horizontal="left"/>
    </xf>
    <xf numFmtId="0" fontId="9" fillId="20" borderId="153" xfId="0" applyFont="1" applyFill="1" applyBorder="1" applyAlignment="1">
      <alignment horizontal="left" vertical="center"/>
    </xf>
    <xf numFmtId="0" fontId="9" fillId="20" borderId="154" xfId="0" applyFont="1" applyFill="1" applyBorder="1" applyAlignment="1">
      <alignment horizontal="left" vertical="center"/>
    </xf>
    <xf numFmtId="0" fontId="9" fillId="20" borderId="155" xfId="0" applyFont="1" applyFill="1" applyBorder="1" applyAlignment="1">
      <alignment horizontal="left" vertical="center"/>
    </xf>
    <xf numFmtId="0" fontId="90" fillId="62" borderId="153" xfId="0" applyFont="1" applyFill="1" applyBorder="1" applyAlignment="1">
      <alignment horizontal="center" vertical="center"/>
    </xf>
    <xf numFmtId="0" fontId="90" fillId="62" borderId="154" xfId="0" applyFont="1" applyFill="1" applyBorder="1" applyAlignment="1">
      <alignment horizontal="center" vertical="center"/>
    </xf>
    <xf numFmtId="0" fontId="90" fillId="62" borderId="155" xfId="0" applyFont="1" applyFill="1" applyBorder="1" applyAlignment="1">
      <alignment horizontal="center" vertical="center"/>
    </xf>
    <xf numFmtId="0" fontId="9" fillId="20" borderId="143" xfId="0" applyFont="1" applyFill="1" applyBorder="1" applyAlignment="1">
      <alignment vertical="center"/>
    </xf>
    <xf numFmtId="0" fontId="9" fillId="20" borderId="150" xfId="0" applyFont="1" applyFill="1" applyBorder="1" applyAlignment="1">
      <alignment vertical="center"/>
    </xf>
    <xf numFmtId="0" fontId="9" fillId="20" borderId="131" xfId="0" applyFont="1" applyFill="1" applyBorder="1" applyAlignment="1">
      <alignment vertical="center"/>
    </xf>
    <xf numFmtId="0" fontId="90" fillId="62" borderId="162" xfId="0" applyFont="1" applyFill="1" applyBorder="1" applyAlignment="1">
      <alignment horizontal="center" vertical="center"/>
    </xf>
    <xf numFmtId="0" fontId="90" fillId="62" borderId="163" xfId="0" applyFont="1" applyFill="1" applyBorder="1" applyAlignment="1">
      <alignment horizontal="center" vertical="center"/>
    </xf>
    <xf numFmtId="0" fontId="90" fillId="62" borderId="164" xfId="0" applyFont="1" applyFill="1" applyBorder="1" applyAlignment="1">
      <alignment horizontal="center" vertical="center"/>
    </xf>
    <xf numFmtId="0" fontId="9" fillId="20" borderId="145" xfId="0" applyFont="1" applyFill="1" applyBorder="1" applyAlignment="1">
      <alignment vertical="center"/>
    </xf>
    <xf numFmtId="0" fontId="9" fillId="20" borderId="148" xfId="0" applyFont="1" applyFill="1" applyBorder="1" applyAlignment="1">
      <alignment vertical="center"/>
    </xf>
    <xf numFmtId="0" fontId="9" fillId="20" borderId="132" xfId="0" applyFont="1" applyFill="1" applyBorder="1" applyAlignment="1">
      <alignment vertical="center"/>
    </xf>
    <xf numFmtId="0" fontId="122" fillId="64" borderId="66" xfId="0" applyFont="1" applyFill="1" applyBorder="1" applyAlignment="1">
      <alignment horizontal="center" vertical="center" wrapText="1"/>
    </xf>
    <xf numFmtId="0" fontId="122" fillId="64" borderId="65" xfId="0" applyFont="1" applyFill="1" applyBorder="1" applyAlignment="1">
      <alignment horizontal="center" vertical="center" wrapText="1"/>
    </xf>
    <xf numFmtId="0" fontId="122" fillId="64" borderId="6" xfId="0" applyFont="1" applyFill="1" applyBorder="1" applyAlignment="1">
      <alignment horizontal="center" vertical="center" wrapText="1"/>
    </xf>
    <xf numFmtId="0" fontId="0" fillId="24" borderId="95" xfId="0" applyFill="1" applyBorder="1" applyAlignment="1">
      <alignment horizontal="center" vertical="center"/>
    </xf>
    <xf numFmtId="0" fontId="0" fillId="24" borderId="96" xfId="0" applyFill="1" applyBorder="1" applyAlignment="1">
      <alignment horizontal="center" vertical="center"/>
    </xf>
    <xf numFmtId="0" fontId="14" fillId="27" borderId="96" xfId="0" applyFont="1" applyFill="1" applyBorder="1" applyAlignment="1">
      <alignment horizontal="center" vertical="center"/>
    </xf>
    <xf numFmtId="0" fontId="14" fillId="27" borderId="97" xfId="0" applyFont="1" applyFill="1" applyBorder="1" applyAlignment="1">
      <alignment horizontal="center" vertical="center"/>
    </xf>
    <xf numFmtId="0" fontId="14" fillId="27" borderId="95" xfId="0" applyFont="1" applyFill="1" applyBorder="1" applyAlignment="1">
      <alignment horizontal="center" vertical="center"/>
    </xf>
    <xf numFmtId="0" fontId="118" fillId="0" borderId="15" xfId="0" applyFont="1" applyBorder="1" applyAlignment="1">
      <alignment horizontal="left" vertical="center" wrapText="1" readingOrder="1"/>
    </xf>
    <xf numFmtId="0" fontId="118" fillId="0" borderId="0" xfId="0" applyFont="1" applyAlignment="1">
      <alignment horizontal="left" vertical="center" wrapText="1" readingOrder="1"/>
    </xf>
    <xf numFmtId="0" fontId="118" fillId="0" borderId="10" xfId="0" applyFont="1" applyBorder="1" applyAlignment="1">
      <alignment horizontal="left" vertical="center" wrapText="1" readingOrder="1"/>
    </xf>
    <xf numFmtId="0" fontId="118" fillId="0" borderId="24" xfId="0" applyFont="1" applyBorder="1" applyAlignment="1">
      <alignment horizontal="left" vertical="center" wrapText="1" readingOrder="1"/>
    </xf>
    <xf numFmtId="0" fontId="118" fillId="0" borderId="5" xfId="0" applyFont="1" applyBorder="1" applyAlignment="1">
      <alignment horizontal="left" vertical="center" wrapText="1" readingOrder="1"/>
    </xf>
    <xf numFmtId="0" fontId="118" fillId="0" borderId="23" xfId="0" applyFont="1" applyBorder="1" applyAlignment="1">
      <alignment horizontal="left" vertical="center" wrapText="1" readingOrder="1"/>
    </xf>
    <xf numFmtId="0" fontId="0" fillId="27" borderId="96" xfId="0" applyFill="1" applyBorder="1" applyAlignment="1">
      <alignment horizontal="center" vertical="center"/>
    </xf>
    <xf numFmtId="0" fontId="0" fillId="24" borderId="98" xfId="0" applyFill="1" applyBorder="1" applyAlignment="1">
      <alignment horizontal="center" vertical="center"/>
    </xf>
    <xf numFmtId="0" fontId="0" fillId="24" borderId="101" xfId="0" applyFill="1" applyBorder="1" applyAlignment="1">
      <alignment horizontal="center" vertical="center"/>
    </xf>
    <xf numFmtId="0" fontId="0" fillId="27" borderId="99" xfId="0" applyFill="1" applyBorder="1" applyAlignment="1">
      <alignment horizontal="center" vertical="center" wrapText="1"/>
    </xf>
    <xf numFmtId="0" fontId="0" fillId="27" borderId="100" xfId="0" applyFill="1" applyBorder="1" applyAlignment="1">
      <alignment horizontal="center" vertical="center" wrapText="1"/>
    </xf>
    <xf numFmtId="0" fontId="0" fillId="27" borderId="102" xfId="0" applyFill="1" applyBorder="1" applyAlignment="1">
      <alignment horizontal="center" vertical="center" wrapText="1"/>
    </xf>
    <xf numFmtId="0" fontId="0" fillId="27" borderId="103" xfId="0" applyFill="1" applyBorder="1" applyAlignment="1">
      <alignment horizontal="center" vertical="center" wrapText="1"/>
    </xf>
    <xf numFmtId="0" fontId="0" fillId="27" borderId="97" xfId="0" applyFill="1" applyBorder="1" applyAlignment="1">
      <alignment horizontal="center" vertical="center"/>
    </xf>
    <xf numFmtId="0" fontId="110" fillId="24" borderId="15" xfId="0" applyFont="1" applyFill="1" applyBorder="1" applyAlignment="1">
      <alignment horizontal="center" vertical="center"/>
    </xf>
    <xf numFmtId="0" fontId="110" fillId="24" borderId="0" xfId="0" applyFont="1" applyFill="1" applyAlignment="1">
      <alignment horizontal="center" vertical="center"/>
    </xf>
    <xf numFmtId="0" fontId="110" fillId="24" borderId="10" xfId="0" applyFont="1" applyFill="1" applyBorder="1" applyAlignment="1">
      <alignment horizontal="center" vertical="center"/>
    </xf>
    <xf numFmtId="0" fontId="0" fillId="24" borderId="15" xfId="0" applyFill="1" applyBorder="1" applyAlignment="1">
      <alignment horizontal="left" vertical="top" wrapText="1"/>
    </xf>
    <xf numFmtId="0" fontId="0" fillId="24" borderId="0" xfId="0" applyFill="1" applyAlignment="1">
      <alignment horizontal="left" vertical="top" wrapText="1"/>
    </xf>
    <xf numFmtId="0" fontId="0" fillId="24" borderId="10" xfId="0" applyFill="1" applyBorder="1" applyAlignment="1">
      <alignment horizontal="left" vertical="top" wrapText="1"/>
    </xf>
    <xf numFmtId="0" fontId="14" fillId="24" borderId="15" xfId="0" applyFont="1" applyFill="1" applyBorder="1" applyAlignment="1">
      <alignment horizontal="center" vertical="center"/>
    </xf>
    <xf numFmtId="0" fontId="14" fillId="24" borderId="0" xfId="0" applyFont="1" applyFill="1" applyAlignment="1">
      <alignment horizontal="center" vertical="center"/>
    </xf>
    <xf numFmtId="0" fontId="14" fillId="24" borderId="10" xfId="0" applyFont="1" applyFill="1" applyBorder="1" applyAlignment="1">
      <alignment horizontal="center" vertical="center"/>
    </xf>
    <xf numFmtId="0" fontId="134" fillId="24" borderId="13" xfId="0" applyFont="1" applyFill="1" applyBorder="1" applyAlignment="1">
      <alignment horizontal="center" vertical="center"/>
    </xf>
    <xf numFmtId="0" fontId="134" fillId="24" borderId="89" xfId="0" applyFont="1" applyFill="1" applyBorder="1" applyAlignment="1">
      <alignment horizontal="center" vertical="center"/>
    </xf>
    <xf numFmtId="0" fontId="134" fillId="24" borderId="71" xfId="0" applyFont="1" applyFill="1" applyBorder="1" applyAlignment="1">
      <alignment horizontal="center" vertical="center"/>
    </xf>
    <xf numFmtId="0" fontId="134" fillId="24" borderId="51" xfId="0" applyFont="1" applyFill="1" applyBorder="1" applyAlignment="1">
      <alignment horizontal="center" vertical="center"/>
    </xf>
    <xf numFmtId="0" fontId="9" fillId="0" borderId="71" xfId="0" quotePrefix="1" applyFont="1" applyBorder="1" applyAlignment="1">
      <alignment horizontal="left" vertical="center" wrapText="1"/>
    </xf>
    <xf numFmtId="0" fontId="9" fillId="0" borderId="50" xfId="0" quotePrefix="1" applyFont="1" applyBorder="1" applyAlignment="1">
      <alignment horizontal="left" vertical="center" wrapText="1"/>
    </xf>
    <xf numFmtId="0" fontId="9" fillId="0" borderId="51" xfId="0" quotePrefix="1" applyFont="1" applyBorder="1" applyAlignment="1">
      <alignment horizontal="left" vertical="center" wrapText="1"/>
    </xf>
    <xf numFmtId="0" fontId="132" fillId="64" borderId="71" xfId="0" applyFont="1" applyFill="1" applyBorder="1" applyAlignment="1">
      <alignment horizontal="left"/>
    </xf>
    <xf numFmtId="0" fontId="132" fillId="64" borderId="50" xfId="0" applyFont="1" applyFill="1" applyBorder="1" applyAlignment="1">
      <alignment horizontal="left"/>
    </xf>
    <xf numFmtId="0" fontId="132" fillId="64" borderId="51" xfId="0" applyFont="1" applyFill="1" applyBorder="1" applyAlignment="1">
      <alignment horizontal="left"/>
    </xf>
    <xf numFmtId="0" fontId="90" fillId="0" borderId="4" xfId="0" applyFont="1" applyBorder="1" applyAlignment="1">
      <alignment horizontal="left" vertical="center" wrapText="1"/>
    </xf>
    <xf numFmtId="49" fontId="13" fillId="20" borderId="33" xfId="0" applyNumberFormat="1" applyFont="1" applyFill="1" applyBorder="1" applyAlignment="1">
      <alignment horizontal="left" vertical="center" wrapText="1"/>
    </xf>
    <xf numFmtId="49" fontId="13" fillId="20" borderId="34" xfId="0" applyNumberFormat="1" applyFont="1" applyFill="1" applyBorder="1" applyAlignment="1">
      <alignment horizontal="left" vertical="center" wrapText="1"/>
    </xf>
    <xf numFmtId="0" fontId="90" fillId="65" borderId="71" xfId="0" applyFont="1" applyFill="1" applyBorder="1" applyAlignment="1">
      <alignment horizontal="left" vertical="center"/>
    </xf>
    <xf numFmtId="0" fontId="90" fillId="65" borderId="50" xfId="0" applyFont="1" applyFill="1" applyBorder="1" applyAlignment="1">
      <alignment horizontal="left" vertical="center"/>
    </xf>
    <xf numFmtId="0" fontId="90" fillId="65" borderId="94" xfId="0" applyFont="1" applyFill="1" applyBorder="1" applyAlignment="1">
      <alignment horizontal="left" vertical="center"/>
    </xf>
    <xf numFmtId="0" fontId="13" fillId="20" borderId="27" xfId="0" applyFont="1" applyFill="1" applyBorder="1" applyAlignment="1">
      <alignment horizontal="left" vertical="center" wrapText="1"/>
    </xf>
    <xf numFmtId="0" fontId="13" fillId="20" borderId="28" xfId="0" applyFont="1" applyFill="1" applyBorder="1" applyAlignment="1">
      <alignment horizontal="left" vertical="center" wrapText="1"/>
    </xf>
    <xf numFmtId="0" fontId="13" fillId="20" borderId="1" xfId="0" applyFont="1" applyFill="1" applyBorder="1" applyAlignment="1">
      <alignment horizontal="left" vertical="center" wrapText="1"/>
    </xf>
    <xf numFmtId="0" fontId="13" fillId="20" borderId="30" xfId="0" applyFont="1" applyFill="1" applyBorder="1" applyAlignment="1">
      <alignment horizontal="left" vertical="center" wrapText="1"/>
    </xf>
    <xf numFmtId="0" fontId="13" fillId="62" borderId="1" xfId="0" applyFont="1" applyFill="1" applyBorder="1" applyAlignment="1">
      <alignment horizontal="left" vertical="center"/>
    </xf>
    <xf numFmtId="0" fontId="13" fillId="62" borderId="30" xfId="0" applyFont="1" applyFill="1" applyBorder="1" applyAlignment="1">
      <alignment horizontal="left" vertical="center"/>
    </xf>
    <xf numFmtId="0" fontId="13" fillId="20" borderId="0" xfId="0" applyFont="1" applyFill="1" applyAlignment="1">
      <alignment horizontal="left" vertical="top" wrapText="1"/>
    </xf>
    <xf numFmtId="0" fontId="13" fillId="20" borderId="5" xfId="0" applyFont="1" applyFill="1" applyBorder="1" applyAlignment="1">
      <alignment horizontal="left" vertical="top" wrapText="1"/>
    </xf>
    <xf numFmtId="169" fontId="13" fillId="20" borderId="27" xfId="1" applyNumberFormat="1" applyFont="1" applyFill="1" applyBorder="1" applyAlignment="1">
      <alignment horizontal="center" vertical="center" wrapText="1"/>
    </xf>
    <xf numFmtId="169" fontId="13" fillId="20" borderId="28" xfId="1" applyNumberFormat="1" applyFont="1" applyFill="1" applyBorder="1" applyAlignment="1">
      <alignment horizontal="center" vertical="center" wrapText="1"/>
    </xf>
    <xf numFmtId="0" fontId="13" fillId="62" borderId="88" xfId="0" applyFont="1" applyFill="1" applyBorder="1" applyAlignment="1">
      <alignment horizontal="center" vertical="center" wrapText="1"/>
    </xf>
    <xf numFmtId="0" fontId="13" fillId="62" borderId="53" xfId="0" applyFont="1" applyFill="1" applyBorder="1" applyAlignment="1">
      <alignment horizontal="center" vertical="center" wrapText="1"/>
    </xf>
    <xf numFmtId="0" fontId="13" fillId="62" borderId="91" xfId="0" applyFont="1" applyFill="1" applyBorder="1" applyAlignment="1">
      <alignment horizontal="center" vertical="center" wrapText="1"/>
    </xf>
    <xf numFmtId="0" fontId="13" fillId="20" borderId="27" xfId="0" applyFont="1" applyFill="1" applyBorder="1" applyAlignment="1">
      <alignment horizontal="left" vertical="center"/>
    </xf>
    <xf numFmtId="0" fontId="13" fillId="20" borderId="28" xfId="0" applyFont="1" applyFill="1" applyBorder="1" applyAlignment="1">
      <alignment horizontal="left" vertical="center"/>
    </xf>
    <xf numFmtId="0" fontId="13" fillId="20" borderId="1" xfId="0" applyFont="1" applyFill="1" applyBorder="1" applyAlignment="1">
      <alignment horizontal="left" vertical="center"/>
    </xf>
    <xf numFmtId="0" fontId="13" fillId="20" borderId="30" xfId="0" applyFont="1" applyFill="1" applyBorder="1" applyAlignment="1">
      <alignment horizontal="left" vertical="center"/>
    </xf>
    <xf numFmtId="0" fontId="13" fillId="20" borderId="48" xfId="0" applyFont="1" applyFill="1" applyBorder="1" applyAlignment="1">
      <alignment horizontal="left" vertical="center"/>
    </xf>
    <xf numFmtId="0" fontId="13" fillId="20" borderId="49" xfId="0" applyFont="1" applyFill="1" applyBorder="1" applyAlignment="1">
      <alignment horizontal="left" vertical="center"/>
    </xf>
    <xf numFmtId="0" fontId="13" fillId="62" borderId="27" xfId="0" applyFont="1" applyFill="1" applyBorder="1" applyAlignment="1">
      <alignment horizontal="left" vertical="center"/>
    </xf>
    <xf numFmtId="0" fontId="13" fillId="62" borderId="28" xfId="0" applyFont="1" applyFill="1" applyBorder="1" applyAlignment="1">
      <alignment horizontal="left" vertical="center"/>
    </xf>
    <xf numFmtId="0" fontId="13" fillId="62" borderId="33" xfId="0" applyFont="1" applyFill="1" applyBorder="1" applyAlignment="1">
      <alignment horizontal="left" vertical="center"/>
    </xf>
    <xf numFmtId="0" fontId="13" fillId="62" borderId="34" xfId="0" applyFont="1" applyFill="1" applyBorder="1" applyAlignment="1">
      <alignment horizontal="left" vertical="center"/>
    </xf>
    <xf numFmtId="0" fontId="90" fillId="20" borderId="27" xfId="0" applyFont="1" applyFill="1" applyBorder="1" applyAlignment="1">
      <alignment horizontal="center" vertical="center" wrapText="1"/>
    </xf>
    <xf numFmtId="0" fontId="90" fillId="20" borderId="28" xfId="0" applyFont="1" applyFill="1" applyBorder="1" applyAlignment="1">
      <alignment horizontal="center" vertical="center" wrapText="1"/>
    </xf>
    <xf numFmtId="0" fontId="90" fillId="0" borderId="58" xfId="0" applyFont="1" applyBorder="1" applyAlignment="1">
      <alignment horizontal="center" vertical="center" wrapText="1"/>
    </xf>
    <xf numFmtId="0" fontId="90" fillId="0" borderId="59" xfId="0" applyFont="1" applyBorder="1" applyAlignment="1">
      <alignment horizontal="center" vertical="center" wrapText="1"/>
    </xf>
    <xf numFmtId="0" fontId="90" fillId="20" borderId="0" xfId="0" applyFont="1" applyFill="1" applyAlignment="1">
      <alignment horizontal="center"/>
    </xf>
    <xf numFmtId="0" fontId="141" fillId="24" borderId="145" xfId="0" quotePrefix="1" applyFont="1" applyFill="1" applyBorder="1" applyAlignment="1">
      <alignment vertical="center" wrapText="1"/>
    </xf>
    <xf numFmtId="0" fontId="141" fillId="24" borderId="148" xfId="0" quotePrefix="1" applyFont="1" applyFill="1" applyBorder="1" applyAlignment="1">
      <alignment vertical="center" wrapText="1"/>
    </xf>
    <xf numFmtId="0" fontId="141" fillId="24" borderId="132" xfId="0" quotePrefix="1" applyFont="1" applyFill="1" applyBorder="1" applyAlignment="1">
      <alignment vertical="center" wrapText="1"/>
    </xf>
    <xf numFmtId="0" fontId="90" fillId="20" borderId="159" xfId="0" applyFont="1" applyFill="1" applyBorder="1" applyAlignment="1">
      <alignment horizontal="center" vertical="center"/>
    </xf>
    <xf numFmtId="0" fontId="90" fillId="20" borderId="160" xfId="0" applyFont="1" applyFill="1" applyBorder="1" applyAlignment="1">
      <alignment horizontal="center" vertical="center"/>
    </xf>
    <xf numFmtId="0" fontId="90" fillId="20" borderId="161" xfId="0" applyFont="1" applyFill="1" applyBorder="1" applyAlignment="1">
      <alignment horizontal="center" vertical="center"/>
    </xf>
    <xf numFmtId="0" fontId="90" fillId="20" borderId="0" xfId="0" applyFont="1" applyFill="1" applyAlignment="1">
      <alignment horizontal="center" vertical="center"/>
    </xf>
    <xf numFmtId="0" fontId="90" fillId="20" borderId="10" xfId="0" applyFont="1" applyFill="1" applyBorder="1" applyAlignment="1">
      <alignment horizontal="center" vertical="center"/>
    </xf>
    <xf numFmtId="0" fontId="139" fillId="24" borderId="144" xfId="0" quotePrefix="1" applyFont="1" applyFill="1" applyBorder="1" applyAlignment="1">
      <alignment horizontal="left" vertical="center" wrapText="1"/>
    </xf>
    <xf numFmtId="0" fontId="139" fillId="24" borderId="146" xfId="0" quotePrefix="1" applyFont="1" applyFill="1" applyBorder="1" applyAlignment="1">
      <alignment horizontal="left" vertical="center" wrapText="1"/>
    </xf>
    <xf numFmtId="0" fontId="139" fillId="24" borderId="123" xfId="0" quotePrefix="1" applyFont="1" applyFill="1" applyBorder="1" applyAlignment="1">
      <alignment horizontal="left" vertical="center" wrapText="1"/>
    </xf>
    <xf numFmtId="0" fontId="90" fillId="20" borderId="156" xfId="0" applyFont="1" applyFill="1" applyBorder="1" applyAlignment="1">
      <alignment horizontal="center" vertical="center"/>
    </xf>
    <xf numFmtId="0" fontId="90" fillId="20" borderId="157" xfId="0" applyFont="1" applyFill="1" applyBorder="1" applyAlignment="1">
      <alignment horizontal="center" vertical="center"/>
    </xf>
    <xf numFmtId="0" fontId="90" fillId="20" borderId="158" xfId="0" applyFont="1" applyFill="1" applyBorder="1" applyAlignment="1">
      <alignment horizontal="center" vertical="center"/>
    </xf>
    <xf numFmtId="0" fontId="139" fillId="0" borderId="144" xfId="0" quotePrefix="1" applyFont="1" applyBorder="1" applyAlignment="1">
      <alignment horizontal="left" vertical="center" wrapText="1"/>
    </xf>
    <xf numFmtId="0" fontId="139" fillId="0" borderId="146" xfId="0" quotePrefix="1" applyFont="1" applyBorder="1" applyAlignment="1">
      <alignment horizontal="left" vertical="center" wrapText="1"/>
    </xf>
    <xf numFmtId="0" fontId="139" fillId="0" borderId="123" xfId="0" quotePrefix="1" applyFont="1" applyBorder="1" applyAlignment="1">
      <alignment horizontal="left" vertical="center" wrapText="1"/>
    </xf>
    <xf numFmtId="0" fontId="139" fillId="24" borderId="144" xfId="0" quotePrefix="1" applyFont="1" applyFill="1" applyBorder="1" applyAlignment="1">
      <alignment vertical="center" wrapText="1"/>
    </xf>
    <xf numFmtId="0" fontId="139" fillId="24" borderId="146" xfId="0" quotePrefix="1" applyFont="1" applyFill="1" applyBorder="1" applyAlignment="1">
      <alignment vertical="center" wrapText="1"/>
    </xf>
    <xf numFmtId="0" fontId="139" fillId="24" borderId="123" xfId="0" quotePrefix="1" applyFont="1" applyFill="1" applyBorder="1" applyAlignment="1">
      <alignment vertical="center" wrapText="1"/>
    </xf>
    <xf numFmtId="0" fontId="139" fillId="0" borderId="143" xfId="0" quotePrefix="1" applyFont="1" applyBorder="1" applyAlignment="1">
      <alignment horizontal="left" vertical="center" wrapText="1"/>
    </xf>
    <xf numFmtId="0" fontId="139" fillId="0" borderId="150" xfId="0" quotePrefix="1" applyFont="1" applyBorder="1" applyAlignment="1">
      <alignment horizontal="left" vertical="center" wrapText="1"/>
    </xf>
    <xf numFmtId="0" fontId="139" fillId="0" borderId="131" xfId="0" quotePrefix="1" applyFont="1" applyBorder="1" applyAlignment="1">
      <alignment horizontal="left" vertical="center" wrapText="1"/>
    </xf>
    <xf numFmtId="0" fontId="12" fillId="70" borderId="66" xfId="0" applyFont="1" applyFill="1" applyBorder="1" applyAlignment="1">
      <alignment horizontal="left" vertical="center"/>
    </xf>
    <xf numFmtId="0" fontId="12" fillId="70" borderId="65" xfId="0" applyFont="1" applyFill="1" applyBorder="1" applyAlignment="1">
      <alignment horizontal="left" vertical="center"/>
    </xf>
    <xf numFmtId="0" fontId="12" fillId="70" borderId="6" xfId="0" applyFont="1" applyFill="1" applyBorder="1" applyAlignment="1">
      <alignment horizontal="left" vertical="center"/>
    </xf>
    <xf numFmtId="0" fontId="130" fillId="20" borderId="66" xfId="0" applyFont="1" applyFill="1" applyBorder="1" applyAlignment="1">
      <alignment horizontal="center" vertical="center"/>
    </xf>
    <xf numFmtId="0" fontId="130" fillId="20" borderId="65" xfId="0" applyFont="1" applyFill="1" applyBorder="1" applyAlignment="1">
      <alignment horizontal="center" vertical="center"/>
    </xf>
    <xf numFmtId="0" fontId="130" fillId="20" borderId="6" xfId="0" applyFont="1" applyFill="1" applyBorder="1" applyAlignment="1">
      <alignment horizontal="center" vertical="center"/>
    </xf>
    <xf numFmtId="0" fontId="9" fillId="20" borderId="88" xfId="0" applyFont="1" applyFill="1" applyBorder="1" applyAlignment="1">
      <alignment vertical="center"/>
    </xf>
    <xf numFmtId="0" fontId="9" fillId="20" borderId="53" xfId="0" applyFont="1" applyFill="1" applyBorder="1" applyAlignment="1">
      <alignment vertical="center"/>
    </xf>
    <xf numFmtId="0" fontId="9" fillId="20" borderId="91" xfId="0" applyFont="1" applyFill="1" applyBorder="1" applyAlignment="1">
      <alignment vertical="center"/>
    </xf>
    <xf numFmtId="0" fontId="90" fillId="62" borderId="88" xfId="0" applyFont="1" applyFill="1" applyBorder="1" applyAlignment="1">
      <alignment horizontal="center" vertical="center"/>
    </xf>
    <xf numFmtId="0" fontId="90" fillId="62" borderId="53" xfId="0" applyFont="1" applyFill="1" applyBorder="1" applyAlignment="1">
      <alignment horizontal="center" vertical="center"/>
    </xf>
    <xf numFmtId="0" fontId="90" fillId="62" borderId="91" xfId="0" applyFont="1" applyFill="1" applyBorder="1" applyAlignment="1">
      <alignment horizontal="center" vertical="center"/>
    </xf>
    <xf numFmtId="0" fontId="9" fillId="20" borderId="71" xfId="0" applyFont="1" applyFill="1" applyBorder="1" applyAlignment="1">
      <alignment vertical="center" wrapText="1"/>
    </xf>
    <xf numFmtId="0" fontId="9" fillId="20" borderId="50" xfId="0" applyFont="1" applyFill="1" applyBorder="1" applyAlignment="1">
      <alignment vertical="center" wrapText="1"/>
    </xf>
    <xf numFmtId="0" fontId="139" fillId="24" borderId="168" xfId="0" quotePrefix="1" applyFont="1" applyFill="1" applyBorder="1" applyAlignment="1">
      <alignment horizontal="left" vertical="center" wrapText="1"/>
    </xf>
    <xf numFmtId="0" fontId="139" fillId="24" borderId="169" xfId="0" quotePrefix="1" applyFont="1" applyFill="1" applyBorder="1" applyAlignment="1">
      <alignment horizontal="left" vertical="center" wrapText="1"/>
    </xf>
    <xf numFmtId="0" fontId="139" fillId="24" borderId="170" xfId="0" quotePrefix="1" applyFont="1" applyFill="1" applyBorder="1" applyAlignment="1">
      <alignment horizontal="left" vertical="center" wrapText="1"/>
    </xf>
    <xf numFmtId="0" fontId="90" fillId="9" borderId="96" xfId="0" applyFont="1" applyFill="1" applyBorder="1" applyAlignment="1">
      <alignment horizontal="center" vertical="center"/>
    </xf>
    <xf numFmtId="0" fontId="90" fillId="9" borderId="97" xfId="0" applyFont="1" applyFill="1" applyBorder="1" applyAlignment="1">
      <alignment horizontal="center" vertical="center"/>
    </xf>
    <xf numFmtId="0" fontId="91" fillId="20" borderId="15" xfId="0" applyFont="1" applyFill="1" applyBorder="1" applyAlignment="1">
      <alignment horizontal="center" vertical="center"/>
    </xf>
    <xf numFmtId="0" fontId="91" fillId="20" borderId="0" xfId="0" applyFont="1" applyFill="1" applyAlignment="1">
      <alignment horizontal="center" vertical="center"/>
    </xf>
    <xf numFmtId="0" fontId="91" fillId="20" borderId="10" xfId="0" applyFont="1" applyFill="1" applyBorder="1" applyAlignment="1">
      <alignment horizontal="center" vertical="center"/>
    </xf>
    <xf numFmtId="0" fontId="13" fillId="20" borderId="15" xfId="0" applyFont="1" applyFill="1" applyBorder="1" applyAlignment="1">
      <alignment horizontal="center" vertical="center"/>
    </xf>
    <xf numFmtId="0" fontId="13" fillId="20" borderId="0" xfId="0" applyFont="1" applyFill="1" applyAlignment="1">
      <alignment horizontal="center" vertical="center"/>
    </xf>
    <xf numFmtId="0" fontId="13" fillId="20" borderId="10" xfId="0" applyFont="1" applyFill="1" applyBorder="1" applyAlignment="1">
      <alignment horizontal="center" vertical="center"/>
    </xf>
    <xf numFmtId="0" fontId="90" fillId="20" borderId="15" xfId="0" applyFont="1" applyFill="1" applyBorder="1" applyAlignment="1">
      <alignment horizontal="left" vertical="top" wrapText="1"/>
    </xf>
    <xf numFmtId="0" fontId="90" fillId="20" borderId="0" xfId="0" applyFont="1" applyFill="1" applyAlignment="1">
      <alignment horizontal="left" vertical="top" wrapText="1"/>
    </xf>
    <xf numFmtId="0" fontId="90" fillId="20" borderId="10" xfId="0" applyFont="1" applyFill="1" applyBorder="1" applyAlignment="1">
      <alignment horizontal="left" vertical="top" wrapText="1"/>
    </xf>
    <xf numFmtId="0" fontId="123" fillId="53" borderId="66" xfId="0" applyFont="1" applyFill="1" applyBorder="1" applyAlignment="1">
      <alignment horizontal="center" vertical="center" wrapText="1"/>
    </xf>
    <xf numFmtId="0" fontId="123" fillId="53" borderId="65" xfId="0" applyFont="1" applyFill="1" applyBorder="1" applyAlignment="1">
      <alignment horizontal="center" vertical="center" wrapText="1"/>
    </xf>
    <xf numFmtId="0" fontId="123" fillId="53" borderId="6" xfId="0" applyFont="1" applyFill="1" applyBorder="1" applyAlignment="1">
      <alignment horizontal="center" vertical="center" wrapText="1"/>
    </xf>
    <xf numFmtId="0" fontId="90" fillId="20" borderId="95" xfId="0" applyFont="1" applyFill="1" applyBorder="1" applyAlignment="1">
      <alignment horizontal="center" vertical="center"/>
    </xf>
    <xf numFmtId="0" fontId="90" fillId="20" borderId="96" xfId="0" applyFont="1" applyFill="1" applyBorder="1" applyAlignment="1">
      <alignment horizontal="center" vertical="center"/>
    </xf>
    <xf numFmtId="0" fontId="13" fillId="9" borderId="96" xfId="0" applyFont="1" applyFill="1" applyBorder="1" applyAlignment="1">
      <alignment horizontal="center" vertical="center"/>
    </xf>
    <xf numFmtId="0" fontId="13" fillId="9" borderId="97" xfId="0" applyFont="1" applyFill="1" applyBorder="1" applyAlignment="1">
      <alignment horizontal="center" vertical="center"/>
    </xf>
    <xf numFmtId="0" fontId="13" fillId="9" borderId="95" xfId="0" applyFont="1" applyFill="1" applyBorder="1" applyAlignment="1">
      <alignment horizontal="center" vertical="center"/>
    </xf>
    <xf numFmtId="0" fontId="90" fillId="20" borderId="98" xfId="0" applyFont="1" applyFill="1" applyBorder="1" applyAlignment="1">
      <alignment horizontal="center" vertical="center"/>
    </xf>
    <xf numFmtId="0" fontId="90" fillId="20" borderId="101" xfId="0" applyFont="1" applyFill="1" applyBorder="1" applyAlignment="1">
      <alignment horizontal="center" vertical="center"/>
    </xf>
    <xf numFmtId="0" fontId="90" fillId="9" borderId="99" xfId="0" applyFont="1" applyFill="1" applyBorder="1" applyAlignment="1">
      <alignment horizontal="center" vertical="center" wrapText="1"/>
    </xf>
    <xf numFmtId="0" fontId="90" fillId="9" borderId="100" xfId="0" applyFont="1" applyFill="1" applyBorder="1" applyAlignment="1">
      <alignment horizontal="center" vertical="center" wrapText="1"/>
    </xf>
    <xf numFmtId="0" fontId="90" fillId="9" borderId="102" xfId="0" applyFont="1" applyFill="1" applyBorder="1" applyAlignment="1">
      <alignment horizontal="center" vertical="center" wrapText="1"/>
    </xf>
    <xf numFmtId="0" fontId="90" fillId="9" borderId="103" xfId="0" applyFont="1" applyFill="1" applyBorder="1" applyAlignment="1">
      <alignment horizontal="center" vertical="center" wrapText="1"/>
    </xf>
    <xf numFmtId="0" fontId="14" fillId="56" borderId="13" xfId="0" applyFont="1" applyFill="1" applyBorder="1" applyAlignment="1">
      <alignment horizontal="center" vertical="center"/>
    </xf>
    <xf numFmtId="0" fontId="14" fillId="56" borderId="89" xfId="0" applyFont="1" applyFill="1" applyBorder="1" applyAlignment="1">
      <alignment horizontal="center" vertical="center"/>
    </xf>
    <xf numFmtId="0" fontId="13" fillId="9" borderId="108" xfId="0" applyFont="1" applyFill="1" applyBorder="1" applyAlignment="1">
      <alignment horizontal="center" vertical="center"/>
    </xf>
    <xf numFmtId="0" fontId="13" fillId="9" borderId="109" xfId="0" applyFont="1" applyFill="1" applyBorder="1" applyAlignment="1">
      <alignment horizontal="center" vertical="center"/>
    </xf>
    <xf numFmtId="0" fontId="13" fillId="9" borderId="110" xfId="0" applyFont="1" applyFill="1" applyBorder="1" applyAlignment="1">
      <alignment horizontal="center" vertical="center"/>
    </xf>
    <xf numFmtId="0" fontId="90" fillId="68" borderId="24" xfId="0" applyFont="1" applyFill="1" applyBorder="1" applyAlignment="1">
      <alignment horizontal="center" vertical="center"/>
    </xf>
    <xf numFmtId="0" fontId="90" fillId="68" borderId="5" xfId="0" applyFont="1" applyFill="1" applyBorder="1" applyAlignment="1">
      <alignment horizontal="center" vertical="center"/>
    </xf>
    <xf numFmtId="0" fontId="90" fillId="68" borderId="23" xfId="0" applyFont="1" applyFill="1" applyBorder="1" applyAlignment="1">
      <alignment horizontal="center" vertical="center"/>
    </xf>
    <xf numFmtId="0" fontId="90" fillId="68" borderId="66" xfId="0" applyFont="1" applyFill="1" applyBorder="1" applyAlignment="1">
      <alignment horizontal="center" vertical="center"/>
    </xf>
    <xf numFmtId="0" fontId="90" fillId="68" borderId="65" xfId="0" applyFont="1" applyFill="1" applyBorder="1" applyAlignment="1">
      <alignment horizontal="center" vertical="center"/>
    </xf>
    <xf numFmtId="0" fontId="90" fillId="68" borderId="6" xfId="0" applyFont="1" applyFill="1" applyBorder="1" applyAlignment="1">
      <alignment horizontal="center" vertical="center"/>
    </xf>
    <xf numFmtId="0" fontId="90" fillId="68" borderId="15" xfId="0" applyFont="1" applyFill="1" applyBorder="1" applyAlignment="1">
      <alignment horizontal="center" vertical="center"/>
    </xf>
    <xf numFmtId="0" fontId="90" fillId="68" borderId="0" xfId="0" applyFont="1" applyFill="1" applyAlignment="1">
      <alignment horizontal="center" vertical="center"/>
    </xf>
    <xf numFmtId="0" fontId="90" fillId="68" borderId="10" xfId="0" applyFont="1" applyFill="1" applyBorder="1" applyAlignment="1">
      <alignment horizontal="center" vertical="center"/>
    </xf>
    <xf numFmtId="0" fontId="13" fillId="20" borderId="71" xfId="0" applyFont="1" applyFill="1" applyBorder="1" applyAlignment="1">
      <alignment horizontal="left" vertical="center"/>
    </xf>
    <xf numFmtId="0" fontId="13" fillId="20" borderId="50" xfId="0" applyFont="1" applyFill="1" applyBorder="1" applyAlignment="1">
      <alignment horizontal="left" vertical="center"/>
    </xf>
    <xf numFmtId="0" fontId="13" fillId="20" borderId="51" xfId="0" applyFont="1" applyFill="1" applyBorder="1" applyAlignment="1">
      <alignment horizontal="left" vertical="center"/>
    </xf>
    <xf numFmtId="190" fontId="126" fillId="0" borderId="119" xfId="1" applyNumberFormat="1" applyFont="1" applyFill="1" applyBorder="1" applyAlignment="1">
      <alignment horizontal="center" vertical="center" wrapText="1"/>
    </xf>
    <xf numFmtId="190" fontId="126" fillId="0" borderId="51" xfId="1" applyNumberFormat="1" applyFont="1" applyFill="1" applyBorder="1" applyAlignment="1">
      <alignment horizontal="center" vertical="center" wrapText="1"/>
    </xf>
    <xf numFmtId="0" fontId="126" fillId="0" borderId="119" xfId="0" applyFont="1" applyBorder="1" applyAlignment="1">
      <alignment horizontal="center" vertical="center" wrapText="1"/>
    </xf>
    <xf numFmtId="0" fontId="126" fillId="0" borderId="51" xfId="0" applyFont="1" applyBorder="1" applyAlignment="1">
      <alignment horizontal="center" vertical="center" wrapText="1"/>
    </xf>
    <xf numFmtId="0" fontId="34" fillId="66" borderId="127" xfId="0" applyFont="1" applyFill="1" applyBorder="1" applyAlignment="1" applyProtection="1">
      <alignment horizontal="center" vertical="center" wrapText="1"/>
      <protection locked="0"/>
    </xf>
    <xf numFmtId="0" fontId="34" fillId="66" borderId="131" xfId="0" applyFont="1" applyFill="1" applyBorder="1" applyAlignment="1" applyProtection="1">
      <alignment horizontal="center" vertical="center" wrapText="1"/>
      <protection locked="0"/>
    </xf>
    <xf numFmtId="0" fontId="34" fillId="66" borderId="122" xfId="0" applyFont="1" applyFill="1" applyBorder="1" applyAlignment="1" applyProtection="1">
      <alignment horizontal="center" vertical="center" wrapText="1"/>
      <protection locked="0"/>
    </xf>
    <xf numFmtId="0" fontId="34" fillId="66" borderId="123" xfId="0" applyFont="1" applyFill="1" applyBorder="1" applyAlignment="1" applyProtection="1">
      <alignment horizontal="center" vertical="center" wrapText="1"/>
      <protection locked="0"/>
    </xf>
    <xf numFmtId="14" fontId="34" fillId="66" borderId="128" xfId="0" applyNumberFormat="1" applyFont="1" applyFill="1" applyBorder="1" applyAlignment="1" applyProtection="1">
      <alignment horizontal="center" vertical="center" wrapText="1"/>
      <protection locked="0"/>
    </xf>
    <xf numFmtId="14" fontId="34" fillId="66" borderId="132" xfId="0" applyNumberFormat="1" applyFont="1" applyFill="1" applyBorder="1" applyAlignment="1" applyProtection="1">
      <alignment horizontal="center" vertical="center" wrapText="1"/>
      <protection locked="0"/>
    </xf>
    <xf numFmtId="190" fontId="34" fillId="66" borderId="127" xfId="1" applyNumberFormat="1" applyFont="1" applyFill="1" applyBorder="1" applyAlignment="1" applyProtection="1">
      <alignment horizontal="center" vertical="center" wrapText="1"/>
      <protection locked="0"/>
    </xf>
    <xf numFmtId="190" fontId="34" fillId="66" borderId="131" xfId="1" applyNumberFormat="1" applyFont="1" applyFill="1" applyBorder="1" applyAlignment="1" applyProtection="1">
      <alignment horizontal="center" vertical="center" wrapText="1"/>
      <protection locked="0"/>
    </xf>
    <xf numFmtId="190" fontId="34" fillId="66" borderId="122" xfId="1" applyNumberFormat="1" applyFont="1" applyFill="1" applyBorder="1" applyAlignment="1" applyProtection="1">
      <alignment horizontal="center" vertical="center" wrapText="1"/>
      <protection locked="0"/>
    </xf>
    <xf numFmtId="190" fontId="34" fillId="66" borderId="123" xfId="1" applyNumberFormat="1" applyFont="1" applyFill="1" applyBorder="1" applyAlignment="1" applyProtection="1">
      <alignment horizontal="center" vertical="center" wrapText="1"/>
      <protection locked="0"/>
    </xf>
    <xf numFmtId="190" fontId="34" fillId="66" borderId="128" xfId="1" applyNumberFormat="1" applyFont="1" applyFill="1" applyBorder="1" applyAlignment="1" applyProtection="1">
      <alignment horizontal="center" vertical="center" wrapText="1"/>
      <protection locked="0"/>
    </xf>
    <xf numFmtId="190" fontId="34" fillId="66" borderId="132" xfId="1" applyNumberFormat="1" applyFont="1" applyFill="1" applyBorder="1" applyAlignment="1" applyProtection="1">
      <alignment horizontal="center" vertical="center" wrapText="1"/>
      <protection locked="0"/>
    </xf>
    <xf numFmtId="0" fontId="14" fillId="56" borderId="71" xfId="0" applyFont="1" applyFill="1" applyBorder="1" applyAlignment="1">
      <alignment horizontal="center" vertical="center"/>
    </xf>
    <xf numFmtId="0" fontId="14" fillId="56" borderId="51" xfId="0" applyFont="1" applyFill="1" applyBorder="1" applyAlignment="1">
      <alignment horizontal="center" vertical="center"/>
    </xf>
    <xf numFmtId="0" fontId="14" fillId="24" borderId="7" xfId="0" applyFont="1" applyFill="1" applyBorder="1" applyAlignment="1">
      <alignment horizontal="center" vertical="center"/>
    </xf>
    <xf numFmtId="0" fontId="14" fillId="24" borderId="8" xfId="0" applyFont="1" applyFill="1" applyBorder="1" applyAlignment="1">
      <alignment horizontal="center" vertical="center"/>
    </xf>
    <xf numFmtId="0" fontId="14" fillId="24" borderId="3" xfId="0" applyFont="1" applyFill="1" applyBorder="1" applyAlignment="1">
      <alignment horizontal="center" vertical="center"/>
    </xf>
    <xf numFmtId="0" fontId="134" fillId="35" borderId="71" xfId="0" applyFont="1" applyFill="1" applyBorder="1" applyAlignment="1">
      <alignment horizontal="left"/>
    </xf>
    <xf numFmtId="0" fontId="134" fillId="35" borderId="50" xfId="0" applyFont="1" applyFill="1" applyBorder="1" applyAlignment="1">
      <alignment horizontal="left"/>
    </xf>
    <xf numFmtId="0" fontId="134" fillId="35" borderId="51" xfId="0" applyFont="1" applyFill="1" applyBorder="1" applyAlignment="1">
      <alignment horizontal="left"/>
    </xf>
    <xf numFmtId="0" fontId="31" fillId="35" borderId="71" xfId="0" applyFont="1" applyFill="1" applyBorder="1" applyAlignment="1">
      <alignment horizontal="center" vertical="center"/>
    </xf>
    <xf numFmtId="0" fontId="31" fillId="35" borderId="50" xfId="0" applyFont="1" applyFill="1" applyBorder="1" applyAlignment="1">
      <alignment horizontal="center" vertical="center"/>
    </xf>
    <xf numFmtId="0" fontId="31" fillId="35" borderId="71" xfId="0" applyFont="1" applyFill="1" applyBorder="1" applyAlignment="1">
      <alignment horizontal="center"/>
    </xf>
    <xf numFmtId="0" fontId="31" fillId="35" borderId="50" xfId="0" applyFont="1" applyFill="1" applyBorder="1" applyAlignment="1">
      <alignment horizontal="center"/>
    </xf>
    <xf numFmtId="0" fontId="31" fillId="35" borderId="51" xfId="0" applyFont="1" applyFill="1" applyBorder="1" applyAlignment="1">
      <alignment horizontal="center"/>
    </xf>
    <xf numFmtId="0" fontId="101" fillId="35" borderId="4" xfId="0" applyFont="1" applyFill="1" applyBorder="1" applyAlignment="1">
      <alignment horizontal="left" vertical="center" wrapText="1"/>
    </xf>
    <xf numFmtId="0" fontId="90" fillId="0" borderId="14" xfId="0" applyFont="1" applyBorder="1" applyAlignment="1">
      <alignment horizontal="left" vertical="center" wrapText="1"/>
    </xf>
    <xf numFmtId="0" fontId="90" fillId="0" borderId="9" xfId="0" applyFont="1" applyBorder="1" applyAlignment="1">
      <alignment horizontal="left" vertical="center" wrapText="1"/>
    </xf>
    <xf numFmtId="0" fontId="90" fillId="0" borderId="31" xfId="0" applyFont="1" applyBorder="1" applyAlignment="1">
      <alignment horizontal="left" vertical="center" wrapText="1"/>
    </xf>
    <xf numFmtId="0" fontId="9" fillId="20" borderId="144" xfId="0" applyFont="1" applyFill="1" applyBorder="1" applyAlignment="1">
      <alignment vertical="center"/>
    </xf>
    <xf numFmtId="0" fontId="9" fillId="20" borderId="146" xfId="0" applyFont="1" applyFill="1" applyBorder="1" applyAlignment="1">
      <alignment vertical="center"/>
    </xf>
    <xf numFmtId="0" fontId="9" fillId="20" borderId="123" xfId="0" applyFont="1" applyFill="1" applyBorder="1" applyAlignment="1">
      <alignment vertical="center"/>
    </xf>
    <xf numFmtId="0" fontId="90" fillId="62" borderId="156" xfId="0" applyFont="1" applyFill="1" applyBorder="1" applyAlignment="1">
      <alignment horizontal="center" vertical="center"/>
    </xf>
    <xf numFmtId="0" fontId="90" fillId="62" borderId="157" xfId="0" applyFont="1" applyFill="1" applyBorder="1" applyAlignment="1">
      <alignment horizontal="center" vertical="center"/>
    </xf>
    <xf numFmtId="0" fontId="90" fillId="62" borderId="158" xfId="0" applyFont="1" applyFill="1" applyBorder="1" applyAlignment="1">
      <alignment horizontal="center" vertical="center"/>
    </xf>
    <xf numFmtId="0" fontId="13" fillId="62" borderId="64" xfId="0" applyFont="1" applyFill="1" applyBorder="1" applyAlignment="1">
      <alignment horizontal="left" vertical="center"/>
    </xf>
    <xf numFmtId="0" fontId="13" fillId="62" borderId="53" xfId="0" applyFont="1" applyFill="1" applyBorder="1" applyAlignment="1">
      <alignment horizontal="left" vertical="center"/>
    </xf>
    <xf numFmtId="0" fontId="13" fillId="62" borderId="91" xfId="0" applyFont="1" applyFill="1" applyBorder="1" applyAlignment="1">
      <alignment horizontal="left" vertical="center"/>
    </xf>
    <xf numFmtId="49" fontId="13" fillId="20" borderId="64" xfId="0" applyNumberFormat="1" applyFont="1" applyFill="1" applyBorder="1" applyAlignment="1">
      <alignment horizontal="left" vertical="center" wrapText="1"/>
    </xf>
    <xf numFmtId="0" fontId="13" fillId="20" borderId="53" xfId="0" applyFont="1" applyFill="1" applyBorder="1" applyAlignment="1">
      <alignment horizontal="left" vertical="center" wrapText="1"/>
    </xf>
    <xf numFmtId="0" fontId="13" fillId="20" borderId="91" xfId="0" applyFont="1" applyFill="1" applyBorder="1" applyAlignment="1">
      <alignment horizontal="left" vertical="center" wrapText="1"/>
    </xf>
    <xf numFmtId="49" fontId="13" fillId="20" borderId="38" xfId="0" applyNumberFormat="1" applyFont="1" applyFill="1" applyBorder="1" applyAlignment="1">
      <alignment horizontal="left" vertical="center" wrapText="1"/>
    </xf>
    <xf numFmtId="0" fontId="13" fillId="20" borderId="16" xfId="0" applyFont="1" applyFill="1" applyBorder="1" applyAlignment="1">
      <alignment horizontal="left" vertical="center" wrapText="1"/>
    </xf>
    <xf numFmtId="0" fontId="13" fillId="20" borderId="17" xfId="0" applyFont="1" applyFill="1" applyBorder="1" applyAlignment="1">
      <alignment horizontal="left" vertical="center" wrapText="1"/>
    </xf>
    <xf numFmtId="0" fontId="139" fillId="24" borderId="177" xfId="0" quotePrefix="1" applyFont="1" applyFill="1" applyBorder="1" applyAlignment="1">
      <alignment horizontal="left" vertical="center" wrapText="1"/>
    </xf>
    <xf numFmtId="0" fontId="139" fillId="24" borderId="178" xfId="0" quotePrefix="1" applyFont="1" applyFill="1" applyBorder="1" applyAlignment="1">
      <alignment horizontal="left" vertical="center" wrapText="1"/>
    </xf>
    <xf numFmtId="0" fontId="139" fillId="24" borderId="179" xfId="0" quotePrefix="1" applyFont="1" applyFill="1" applyBorder="1" applyAlignment="1">
      <alignment horizontal="left" vertical="center" wrapText="1"/>
    </xf>
    <xf numFmtId="0" fontId="13" fillId="9" borderId="137" xfId="0" applyFont="1" applyFill="1" applyBorder="1" applyAlignment="1">
      <alignment horizontal="left" vertical="top"/>
    </xf>
    <xf numFmtId="0" fontId="13" fillId="9" borderId="0" xfId="0" applyFont="1" applyFill="1" applyAlignment="1">
      <alignment horizontal="left" vertical="top"/>
    </xf>
    <xf numFmtId="0" fontId="13" fillId="35" borderId="4" xfId="0" applyFont="1" applyFill="1" applyBorder="1" applyAlignment="1">
      <alignment horizontal="left" vertical="center" wrapText="1"/>
    </xf>
    <xf numFmtId="0" fontId="14" fillId="35" borderId="71" xfId="0" applyFont="1" applyFill="1" applyBorder="1" applyAlignment="1">
      <alignment horizontal="left"/>
    </xf>
    <xf numFmtId="0" fontId="14" fillId="35" borderId="50" xfId="0" applyFont="1" applyFill="1" applyBorder="1" applyAlignment="1">
      <alignment horizontal="left"/>
    </xf>
    <xf numFmtId="0" fontId="14" fillId="35" borderId="51" xfId="0" applyFont="1" applyFill="1" applyBorder="1" applyAlignment="1">
      <alignment horizontal="left"/>
    </xf>
    <xf numFmtId="0" fontId="90" fillId="0" borderId="18" xfId="0" applyFont="1" applyBorder="1" applyAlignment="1">
      <alignment horizontal="left" vertical="center" wrapText="1"/>
    </xf>
    <xf numFmtId="0" fontId="90" fillId="0" borderId="16" xfId="0" applyFont="1" applyBorder="1" applyAlignment="1">
      <alignment horizontal="left" vertical="center" wrapText="1"/>
    </xf>
    <xf numFmtId="0" fontId="90" fillId="0" borderId="17" xfId="0" applyFont="1" applyBorder="1" applyAlignment="1">
      <alignment horizontal="left" vertical="center" wrapText="1"/>
    </xf>
    <xf numFmtId="0" fontId="0" fillId="0" borderId="71" xfId="0" applyBorder="1" applyAlignment="1">
      <alignment horizontal="center"/>
    </xf>
    <xf numFmtId="0" fontId="0" fillId="0" borderId="50" xfId="0" applyBorder="1" applyAlignment="1">
      <alignment horizontal="center"/>
    </xf>
    <xf numFmtId="0" fontId="0" fillId="0" borderId="51" xfId="0" applyBorder="1" applyAlignment="1">
      <alignment horizontal="center"/>
    </xf>
    <xf numFmtId="0" fontId="90" fillId="20" borderId="153" xfId="0" applyFont="1" applyFill="1" applyBorder="1" applyAlignment="1">
      <alignment horizontal="center" vertical="center"/>
    </xf>
    <xf numFmtId="0" fontId="90" fillId="20" borderId="154" xfId="0" applyFont="1" applyFill="1" applyBorder="1" applyAlignment="1">
      <alignment horizontal="center" vertical="center"/>
    </xf>
    <xf numFmtId="0" fontId="90" fillId="20" borderId="155" xfId="0" applyFont="1" applyFill="1" applyBorder="1" applyAlignment="1">
      <alignment horizontal="center" vertical="center"/>
    </xf>
    <xf numFmtId="0" fontId="9" fillId="20" borderId="24" xfId="0" applyFont="1" applyFill="1" applyBorder="1" applyAlignment="1">
      <alignment vertical="center"/>
    </xf>
    <xf numFmtId="0" fontId="9" fillId="20" borderId="5" xfId="0" applyFont="1" applyFill="1" applyBorder="1" applyAlignment="1">
      <alignment vertical="center"/>
    </xf>
    <xf numFmtId="0" fontId="9" fillId="20" borderId="23" xfId="0" applyFont="1" applyFill="1" applyBorder="1" applyAlignment="1">
      <alignment vertical="center"/>
    </xf>
    <xf numFmtId="0" fontId="90" fillId="62" borderId="24" xfId="0" applyFont="1" applyFill="1" applyBorder="1" applyAlignment="1">
      <alignment horizontal="center" vertical="center"/>
    </xf>
    <xf numFmtId="0" fontId="90" fillId="62" borderId="5" xfId="0" applyFont="1" applyFill="1" applyBorder="1" applyAlignment="1">
      <alignment horizontal="center" vertical="center"/>
    </xf>
    <xf numFmtId="0" fontId="90" fillId="62" borderId="23" xfId="0" applyFont="1" applyFill="1" applyBorder="1" applyAlignment="1">
      <alignment horizontal="center" vertical="center"/>
    </xf>
    <xf numFmtId="0" fontId="90" fillId="62" borderId="174" xfId="0" applyFont="1" applyFill="1" applyBorder="1" applyAlignment="1">
      <alignment horizontal="center" vertical="center"/>
    </xf>
    <xf numFmtId="0" fontId="90" fillId="62" borderId="175" xfId="0" applyFont="1" applyFill="1" applyBorder="1" applyAlignment="1">
      <alignment horizontal="center" vertical="center"/>
    </xf>
    <xf numFmtId="0" fontId="90" fillId="62" borderId="176" xfId="0" applyFont="1" applyFill="1" applyBorder="1" applyAlignment="1">
      <alignment horizontal="center" vertical="center"/>
    </xf>
    <xf numFmtId="0" fontId="31" fillId="35" borderId="51" xfId="0" applyFont="1" applyFill="1" applyBorder="1" applyAlignment="1">
      <alignment horizontal="center" vertical="center"/>
    </xf>
    <xf numFmtId="0" fontId="90" fillId="20" borderId="156" xfId="0" applyFont="1" applyFill="1" applyBorder="1" applyAlignment="1">
      <alignment horizontal="left" vertical="center" wrapText="1"/>
    </xf>
    <xf numFmtId="0" fontId="90" fillId="20" borderId="157" xfId="0" applyFont="1" applyFill="1" applyBorder="1" applyAlignment="1">
      <alignment horizontal="left" vertical="center" wrapText="1"/>
    </xf>
    <xf numFmtId="0" fontId="90" fillId="20" borderId="158" xfId="0" applyFont="1" applyFill="1" applyBorder="1" applyAlignment="1">
      <alignment horizontal="left" vertical="center" wrapText="1"/>
    </xf>
    <xf numFmtId="0" fontId="14" fillId="35" borderId="71" xfId="0" applyFont="1" applyFill="1" applyBorder="1" applyAlignment="1">
      <alignment horizontal="center" vertical="center" wrapText="1"/>
    </xf>
    <xf numFmtId="0" fontId="14" fillId="35" borderId="51" xfId="0" applyFont="1" applyFill="1" applyBorder="1" applyAlignment="1">
      <alignment horizontal="center" vertical="center" wrapText="1"/>
    </xf>
  </cellXfs>
  <cellStyles count="21">
    <cellStyle name="Collegamento ipertestuale" xfId="10" builtinId="8"/>
    <cellStyle name="Collegamento ipertestuale 2" xfId="17" xr:uid="{80CF1792-8F1A-4364-892E-FF634C67DA67}"/>
    <cellStyle name="Euro" xfId="11" xr:uid="{EF290C51-56DE-42B2-9CA6-4D056E47773B}"/>
    <cellStyle name="Migliaia" xfId="8" builtinId="3"/>
    <cellStyle name="Migliaia [0]" xfId="9" builtinId="6"/>
    <cellStyle name="Migliaia 2" xfId="16" xr:uid="{A0F07CC0-441E-4E15-92FF-952273ECB1A3}"/>
    <cellStyle name="Normal" xfId="18" xr:uid="{05D3F98B-1C9C-48E2-AC11-CFD710316E54}"/>
    <cellStyle name="Normale" xfId="0" builtinId="0"/>
    <cellStyle name="Normale 2" xfId="4" xr:uid="{B3D3A6DE-7EF3-4C31-A0CF-AD98FAFC7988}"/>
    <cellStyle name="Normale 2 2" xfId="12" xr:uid="{488C69C2-1FF2-4A55-940A-A21291ED3D1B}"/>
    <cellStyle name="Normale 2 3" xfId="20" xr:uid="{A45D3630-9474-444C-8A8B-069CA89425C0}"/>
    <cellStyle name="Normale 3" xfId="3" xr:uid="{5123B867-FB0D-49A7-9F7C-A9AAECCDE174}"/>
    <cellStyle name="Normale 4" xfId="7" xr:uid="{B08B4F20-A490-49A6-8543-295D843749D3}"/>
    <cellStyle name="Percentuale" xfId="2" builtinId="5"/>
    <cellStyle name="Percentuale 2" xfId="6" xr:uid="{0077E220-DCAC-4574-B4F1-B698C4D98A94}"/>
    <cellStyle name="Percentuale 2 2" xfId="13" xr:uid="{72DB5D38-5954-4EA2-8ACB-3081E9A05D5F}"/>
    <cellStyle name="Valuta" xfId="1" builtinId="4"/>
    <cellStyle name="Valuta 2" xfId="5" xr:uid="{A9408651-1703-448E-A4DF-46377C36BF18}"/>
    <cellStyle name="Valuta 2 2" xfId="14" xr:uid="{7AA70FF3-D21D-4518-AD64-5BA1966BF2C1}"/>
    <cellStyle name="Valuta 2 3" xfId="15" xr:uid="{0CF98B53-1F10-42A1-905B-53FF3F1ADB6A}"/>
    <cellStyle name="Valuta 3" xfId="19" xr:uid="{178FB7E7-CB39-414B-A5B0-77C74ECCA8D0}"/>
  </cellStyles>
  <dxfs count="377">
    <dxf>
      <border>
        <left/>
        <right/>
        <top style="thin">
          <color auto="1"/>
        </top>
        <bottom/>
        <vertical/>
        <horizontal/>
      </border>
    </dxf>
    <dxf>
      <font>
        <color theme="0"/>
      </font>
      <fill>
        <patternFill>
          <bgColor theme="0"/>
        </patternFill>
      </fill>
      <border>
        <left/>
        <right/>
        <top/>
        <bottom/>
        <vertical/>
        <horizontal/>
      </border>
    </dxf>
    <dxf>
      <fill>
        <patternFill>
          <bgColor theme="8" tint="0.59996337778862885"/>
        </patternFill>
      </fill>
    </dxf>
    <dxf>
      <font>
        <b/>
        <i val="0"/>
      </font>
      <fill>
        <patternFill>
          <bgColor theme="8" tint="0.59996337778862885"/>
        </patternFill>
      </fill>
      <border>
        <top style="thin">
          <color auto="1"/>
        </top>
        <bottom style="thin">
          <color auto="1"/>
        </bottom>
      </border>
    </dxf>
    <dxf>
      <font>
        <color theme="0"/>
      </font>
      <fill>
        <patternFill>
          <bgColor theme="0"/>
        </patternFill>
      </fill>
      <border>
        <right/>
        <bottom/>
      </border>
    </dxf>
    <dxf>
      <font>
        <color theme="0"/>
      </font>
      <fill>
        <patternFill>
          <bgColor theme="0"/>
        </patternFill>
      </fill>
      <border>
        <left/>
        <right/>
        <top/>
        <bottom/>
        <vertical/>
        <horizontal/>
      </border>
    </dxf>
    <dxf>
      <font>
        <color theme="0"/>
      </font>
      <fill>
        <patternFill>
          <bgColor theme="0"/>
        </patternFill>
      </fill>
      <border>
        <left/>
        <right/>
        <bottom/>
        <vertical/>
        <horizontal/>
      </border>
    </dxf>
    <dxf>
      <font>
        <color theme="0"/>
      </font>
      <fill>
        <patternFill>
          <bgColor theme="0"/>
        </patternFill>
      </fill>
      <border>
        <left/>
        <right/>
      </border>
    </dxf>
    <dxf>
      <border>
        <top style="dashed">
          <color auto="1"/>
        </top>
        <vertical/>
        <horizontal/>
      </border>
    </dxf>
    <dxf>
      <font>
        <color theme="0"/>
      </font>
      <fill>
        <patternFill>
          <bgColor theme="0"/>
        </patternFill>
      </fill>
      <border>
        <left/>
        <right/>
        <top/>
        <bottom/>
      </border>
    </dxf>
    <dxf>
      <border>
        <left/>
        <right/>
        <top style="thin">
          <color auto="1"/>
        </top>
        <bottom/>
        <vertical/>
        <horizontal/>
      </border>
    </dxf>
    <dxf>
      <font>
        <color theme="0"/>
      </font>
      <fill>
        <patternFill>
          <bgColor theme="0"/>
        </patternFill>
      </fill>
      <border>
        <left/>
        <right/>
        <top/>
        <bottom/>
        <vertical/>
        <horizontal/>
      </border>
    </dxf>
    <dxf>
      <fill>
        <patternFill>
          <bgColor theme="8" tint="0.59996337778862885"/>
        </patternFill>
      </fill>
    </dxf>
    <dxf>
      <font>
        <b/>
        <i val="0"/>
      </font>
      <fill>
        <patternFill>
          <bgColor theme="8" tint="0.59996337778862885"/>
        </patternFill>
      </fill>
      <border>
        <top style="thin">
          <color auto="1"/>
        </top>
        <bottom style="thin">
          <color auto="1"/>
        </bottom>
      </border>
    </dxf>
    <dxf>
      <fill>
        <patternFill>
          <bgColor rgb="FFFF0000"/>
        </patternFill>
      </fill>
    </dxf>
    <dxf>
      <border>
        <left/>
        <right/>
        <top style="thin">
          <color auto="1"/>
        </top>
        <bottom/>
        <vertical/>
        <horizontal/>
      </border>
    </dxf>
    <dxf>
      <font>
        <color theme="0"/>
      </font>
      <fill>
        <patternFill>
          <bgColor theme="0"/>
        </patternFill>
      </fill>
      <border>
        <left/>
        <right/>
        <top/>
        <bottom/>
        <vertical/>
        <horizontal/>
      </border>
    </dxf>
    <dxf>
      <fill>
        <patternFill>
          <bgColor theme="8" tint="0.59996337778862885"/>
        </patternFill>
      </fill>
    </dxf>
    <dxf>
      <font>
        <color theme="0"/>
      </font>
      <fill>
        <patternFill>
          <fgColor theme="0"/>
          <bgColor theme="0"/>
        </patternFill>
      </fill>
      <border>
        <left/>
        <right/>
        <top/>
        <bottom/>
        <vertical/>
        <horizontal/>
      </border>
    </dxf>
    <dxf>
      <border>
        <left/>
        <right/>
        <top style="thin">
          <color auto="1"/>
        </top>
        <bottom/>
        <vertical/>
        <horizontal/>
      </border>
    </dxf>
    <dxf>
      <font>
        <color theme="0"/>
      </font>
      <fill>
        <patternFill>
          <bgColor theme="0"/>
        </patternFill>
      </fill>
      <border>
        <left/>
        <right/>
        <top/>
        <bottom/>
        <vertical/>
        <horizontal/>
      </border>
    </dxf>
    <dxf>
      <fill>
        <patternFill>
          <bgColor theme="8" tint="0.59996337778862885"/>
        </patternFill>
      </fill>
    </dxf>
    <dxf>
      <font>
        <b/>
        <i val="0"/>
      </font>
      <fill>
        <patternFill>
          <bgColor theme="8" tint="0.59996337778862885"/>
        </patternFill>
      </fill>
      <border>
        <top style="thin">
          <color auto="1"/>
        </top>
        <bottom style="thin">
          <color auto="1"/>
        </bottom>
      </border>
    </dxf>
    <dxf>
      <font>
        <color theme="0"/>
      </font>
      <fill>
        <patternFill>
          <bgColor theme="0"/>
        </patternFill>
      </fill>
      <border>
        <right/>
        <bottom/>
      </border>
    </dxf>
    <dxf>
      <font>
        <color theme="0"/>
      </font>
      <fill>
        <patternFill>
          <bgColor theme="0"/>
        </patternFill>
      </fill>
      <border>
        <left/>
        <right/>
        <top/>
        <bottom/>
        <vertical/>
        <horizontal/>
      </border>
    </dxf>
    <dxf>
      <font>
        <color theme="0"/>
      </font>
      <fill>
        <patternFill>
          <bgColor theme="0"/>
        </patternFill>
      </fill>
      <border>
        <left/>
        <right/>
        <bottom/>
        <vertical/>
        <horizontal/>
      </border>
    </dxf>
    <dxf>
      <font>
        <color theme="0"/>
      </font>
      <fill>
        <patternFill>
          <bgColor theme="0"/>
        </patternFill>
      </fill>
      <border>
        <left/>
        <right/>
      </border>
    </dxf>
    <dxf>
      <border>
        <top style="dashed">
          <color auto="1"/>
        </top>
        <vertical/>
        <horizontal/>
      </border>
    </dxf>
    <dxf>
      <font>
        <color theme="0"/>
      </font>
      <fill>
        <patternFill>
          <bgColor theme="0"/>
        </patternFill>
      </fill>
      <border>
        <left/>
        <right/>
        <top/>
        <bottom/>
      </border>
    </dxf>
    <dxf>
      <border>
        <left/>
        <right/>
        <top style="thin">
          <color auto="1"/>
        </top>
        <bottom/>
        <vertical/>
        <horizontal/>
      </border>
    </dxf>
    <dxf>
      <font>
        <color theme="0"/>
      </font>
      <fill>
        <patternFill>
          <bgColor theme="0"/>
        </patternFill>
      </fill>
      <border>
        <left/>
        <right/>
        <top/>
        <bottom/>
        <vertical/>
        <horizontal/>
      </border>
    </dxf>
    <dxf>
      <fill>
        <patternFill>
          <bgColor theme="8" tint="0.59996337778862885"/>
        </patternFill>
      </fill>
    </dxf>
    <dxf>
      <font>
        <b/>
        <i val="0"/>
      </font>
      <fill>
        <patternFill>
          <bgColor theme="8" tint="0.59996337778862885"/>
        </patternFill>
      </fill>
      <border>
        <top style="thin">
          <color auto="1"/>
        </top>
        <bottom style="thin">
          <color auto="1"/>
        </bottom>
      </border>
    </dxf>
    <dxf>
      <fill>
        <patternFill>
          <bgColor rgb="FFFF0000"/>
        </patternFill>
      </fill>
    </dxf>
    <dxf>
      <border>
        <left/>
        <right/>
        <top style="thin">
          <color auto="1"/>
        </top>
        <bottom/>
        <vertical/>
        <horizontal/>
      </border>
    </dxf>
    <dxf>
      <font>
        <color theme="0"/>
      </font>
      <fill>
        <patternFill>
          <bgColor theme="0"/>
        </patternFill>
      </fill>
      <border>
        <left/>
        <right/>
        <top/>
        <bottom/>
        <vertical/>
        <horizontal/>
      </border>
    </dxf>
    <dxf>
      <fill>
        <patternFill>
          <bgColor theme="8" tint="0.59996337778862885"/>
        </patternFill>
      </fill>
    </dxf>
    <dxf>
      <font>
        <color theme="0"/>
      </font>
      <fill>
        <patternFill>
          <fgColor theme="0"/>
          <bgColor theme="0"/>
        </patternFill>
      </fill>
      <border>
        <left/>
        <right/>
        <top/>
        <bottom/>
        <vertical/>
        <horizontal/>
      </border>
    </dxf>
    <dxf>
      <border>
        <left/>
        <right/>
        <top style="thin">
          <color auto="1"/>
        </top>
        <bottom/>
        <vertical/>
        <horizontal/>
      </border>
    </dxf>
    <dxf>
      <font>
        <color theme="0"/>
      </font>
      <fill>
        <patternFill>
          <bgColor theme="0"/>
        </patternFill>
      </fill>
      <border>
        <left/>
        <right/>
        <top/>
        <bottom/>
        <vertical/>
        <horizontal/>
      </border>
    </dxf>
    <dxf>
      <fill>
        <patternFill>
          <bgColor theme="8" tint="0.59996337778862885"/>
        </patternFill>
      </fill>
    </dxf>
    <dxf>
      <font>
        <b/>
        <i val="0"/>
      </font>
      <fill>
        <patternFill>
          <bgColor theme="8" tint="0.59996337778862885"/>
        </patternFill>
      </fill>
      <border>
        <top style="thin">
          <color auto="1"/>
        </top>
        <bottom style="thin">
          <color auto="1"/>
        </bottom>
      </border>
    </dxf>
    <dxf>
      <font>
        <color theme="0"/>
      </font>
      <fill>
        <patternFill>
          <bgColor theme="0"/>
        </patternFill>
      </fill>
      <border>
        <right/>
        <bottom/>
      </border>
    </dxf>
    <dxf>
      <font>
        <color theme="0"/>
      </font>
      <fill>
        <patternFill>
          <bgColor theme="0"/>
        </patternFill>
      </fill>
      <border>
        <left/>
        <right/>
        <top/>
        <bottom/>
        <vertical/>
        <horizontal/>
      </border>
    </dxf>
    <dxf>
      <font>
        <color theme="0"/>
      </font>
      <fill>
        <patternFill>
          <bgColor theme="0"/>
        </patternFill>
      </fill>
      <border>
        <left/>
        <right/>
        <bottom/>
        <vertical/>
        <horizontal/>
      </border>
    </dxf>
    <dxf>
      <font>
        <color theme="0"/>
      </font>
      <fill>
        <patternFill>
          <bgColor theme="0"/>
        </patternFill>
      </fill>
      <border>
        <left/>
        <right/>
      </border>
    </dxf>
    <dxf>
      <border>
        <top style="dashed">
          <color auto="1"/>
        </top>
        <vertical/>
        <horizontal/>
      </border>
    </dxf>
    <dxf>
      <font>
        <color theme="0"/>
      </font>
      <fill>
        <patternFill>
          <bgColor theme="0"/>
        </patternFill>
      </fill>
      <border>
        <left/>
        <right/>
        <top/>
        <bottom/>
      </border>
    </dxf>
    <dxf>
      <border>
        <left/>
        <right/>
        <top style="thin">
          <color auto="1"/>
        </top>
        <bottom/>
        <vertical/>
        <horizontal/>
      </border>
    </dxf>
    <dxf>
      <font>
        <color theme="0"/>
      </font>
      <fill>
        <patternFill>
          <bgColor theme="0"/>
        </patternFill>
      </fill>
      <border>
        <left/>
        <right/>
        <top/>
        <bottom/>
        <vertical/>
        <horizontal/>
      </border>
    </dxf>
    <dxf>
      <fill>
        <patternFill>
          <bgColor theme="8" tint="0.59996337778862885"/>
        </patternFill>
      </fill>
    </dxf>
    <dxf>
      <font>
        <b/>
        <i val="0"/>
      </font>
      <fill>
        <patternFill>
          <bgColor theme="8" tint="0.59996337778862885"/>
        </patternFill>
      </fill>
      <border>
        <top style="thin">
          <color auto="1"/>
        </top>
        <bottom style="thin">
          <color auto="1"/>
        </bottom>
      </border>
    </dxf>
    <dxf>
      <fill>
        <patternFill>
          <bgColor rgb="FFFF0000"/>
        </patternFill>
      </fill>
    </dxf>
    <dxf>
      <fill>
        <patternFill>
          <bgColor rgb="FFFFD966"/>
        </patternFill>
      </fill>
    </dxf>
    <dxf>
      <border>
        <left/>
        <right/>
        <top style="thin">
          <color auto="1"/>
        </top>
        <bottom/>
        <vertical/>
        <horizontal/>
      </border>
    </dxf>
    <dxf>
      <font>
        <color theme="0"/>
      </font>
      <fill>
        <patternFill>
          <bgColor theme="0"/>
        </patternFill>
      </fill>
      <border>
        <left/>
        <right/>
        <top/>
        <bottom/>
        <vertical/>
        <horizontal/>
      </border>
    </dxf>
    <dxf>
      <fill>
        <patternFill>
          <bgColor theme="8" tint="0.59996337778862885"/>
        </patternFill>
      </fill>
    </dxf>
    <dxf>
      <font>
        <color theme="0"/>
      </font>
      <fill>
        <patternFill>
          <fgColor theme="0"/>
          <bgColor theme="0"/>
        </patternFill>
      </fill>
      <border>
        <left/>
        <right/>
        <top/>
        <bottom/>
        <vertical/>
        <horizontal/>
      </border>
    </dxf>
    <dxf>
      <border>
        <left/>
        <right/>
        <top style="thin">
          <color auto="1"/>
        </top>
        <bottom/>
        <vertical/>
        <horizontal/>
      </border>
    </dxf>
    <dxf>
      <font>
        <color theme="0"/>
      </font>
      <fill>
        <patternFill>
          <bgColor theme="0"/>
        </patternFill>
      </fill>
      <border>
        <left/>
        <right/>
        <top/>
        <bottom/>
        <vertical/>
        <horizontal/>
      </border>
    </dxf>
    <dxf>
      <fill>
        <patternFill>
          <bgColor theme="8" tint="0.59996337778862885"/>
        </patternFill>
      </fill>
    </dxf>
    <dxf>
      <font>
        <b/>
        <i val="0"/>
      </font>
      <fill>
        <patternFill>
          <bgColor theme="8" tint="0.59996337778862885"/>
        </patternFill>
      </fill>
      <border>
        <top style="thin">
          <color auto="1"/>
        </top>
        <bottom style="thin">
          <color auto="1"/>
        </bottom>
      </border>
    </dxf>
    <dxf>
      <font>
        <color theme="0"/>
      </font>
      <fill>
        <patternFill>
          <bgColor theme="0"/>
        </patternFill>
      </fill>
      <border>
        <right/>
        <bottom/>
      </border>
    </dxf>
    <dxf>
      <font>
        <color theme="0"/>
      </font>
      <fill>
        <patternFill>
          <bgColor theme="0"/>
        </patternFill>
      </fill>
      <border>
        <left/>
        <right/>
        <top/>
        <bottom/>
        <vertical/>
        <horizontal/>
      </border>
    </dxf>
    <dxf>
      <font>
        <color theme="0"/>
      </font>
      <fill>
        <patternFill>
          <bgColor theme="0"/>
        </patternFill>
      </fill>
      <border>
        <left/>
        <right/>
        <bottom/>
        <vertical/>
        <horizontal/>
      </border>
    </dxf>
    <dxf>
      <font>
        <color theme="0"/>
      </font>
      <fill>
        <patternFill>
          <bgColor theme="0"/>
        </patternFill>
      </fill>
      <border>
        <left/>
        <right/>
      </border>
    </dxf>
    <dxf>
      <border>
        <top style="dashed">
          <color auto="1"/>
        </top>
        <vertical/>
        <horizontal/>
      </border>
    </dxf>
    <dxf>
      <font>
        <color theme="0"/>
      </font>
      <fill>
        <patternFill>
          <bgColor theme="0"/>
        </patternFill>
      </fill>
      <border>
        <left/>
        <right/>
        <top/>
        <bottom/>
      </border>
    </dxf>
    <dxf>
      <border>
        <left/>
        <right/>
        <top style="thin">
          <color auto="1"/>
        </top>
        <bottom/>
        <vertical/>
        <horizontal/>
      </border>
    </dxf>
    <dxf>
      <font>
        <color theme="0"/>
      </font>
      <fill>
        <patternFill>
          <bgColor theme="0"/>
        </patternFill>
      </fill>
      <border>
        <left/>
        <right/>
        <top/>
        <bottom/>
        <vertical/>
        <horizontal/>
      </border>
    </dxf>
    <dxf>
      <fill>
        <patternFill>
          <bgColor theme="8" tint="0.59996337778862885"/>
        </patternFill>
      </fill>
    </dxf>
    <dxf>
      <font>
        <b/>
        <i val="0"/>
      </font>
      <fill>
        <patternFill>
          <bgColor theme="8" tint="0.59996337778862885"/>
        </patternFill>
      </fill>
      <border>
        <top style="thin">
          <color auto="1"/>
        </top>
        <bottom style="thin">
          <color auto="1"/>
        </bottom>
      </border>
    </dxf>
    <dxf>
      <fill>
        <patternFill>
          <bgColor rgb="FFFF0000"/>
        </patternFill>
      </fill>
    </dxf>
    <dxf>
      <fill>
        <patternFill>
          <bgColor rgb="FFFFD966"/>
        </patternFill>
      </fill>
    </dxf>
    <dxf>
      <font>
        <color theme="0"/>
      </font>
      <fill>
        <patternFill>
          <bgColor theme="0"/>
        </patternFill>
      </fill>
      <border>
        <right/>
        <bottom/>
      </border>
    </dxf>
    <dxf>
      <font>
        <color theme="0"/>
      </font>
      <fill>
        <patternFill>
          <bgColor theme="0"/>
        </patternFill>
      </fill>
      <border>
        <left/>
        <right/>
        <top/>
        <bottom/>
        <vertical/>
        <horizontal/>
      </border>
    </dxf>
    <dxf>
      <font>
        <color theme="0"/>
      </font>
      <fill>
        <patternFill>
          <bgColor theme="0"/>
        </patternFill>
      </fill>
      <border>
        <left/>
        <right/>
        <bottom/>
        <vertical/>
        <horizontal/>
      </border>
    </dxf>
    <dxf>
      <font>
        <color theme="0"/>
      </font>
      <fill>
        <patternFill>
          <bgColor theme="0"/>
        </patternFill>
      </fill>
      <border>
        <left/>
        <right/>
      </border>
    </dxf>
    <dxf>
      <border>
        <top style="dashed">
          <color auto="1"/>
        </top>
        <vertical/>
        <horizontal/>
      </border>
    </dxf>
    <dxf>
      <font>
        <color theme="0"/>
      </font>
      <fill>
        <patternFill>
          <bgColor theme="0"/>
        </patternFill>
      </fill>
      <border>
        <left/>
        <right/>
        <top/>
        <bottom/>
      </border>
    </dxf>
    <dxf>
      <border>
        <left/>
        <right/>
        <top style="thin">
          <color auto="1"/>
        </top>
        <bottom/>
        <vertical/>
        <horizontal/>
      </border>
    </dxf>
    <dxf>
      <font>
        <color theme="0"/>
      </font>
      <fill>
        <patternFill>
          <bgColor theme="0"/>
        </patternFill>
      </fill>
      <border>
        <left/>
        <right/>
        <top/>
        <bottom/>
        <vertical/>
        <horizontal/>
      </border>
    </dxf>
    <dxf>
      <fill>
        <patternFill>
          <bgColor theme="8" tint="0.59996337778862885"/>
        </patternFill>
      </fill>
    </dxf>
    <dxf>
      <font>
        <b/>
        <i val="0"/>
      </font>
      <fill>
        <patternFill>
          <bgColor theme="8" tint="0.59996337778862885"/>
        </patternFill>
      </fill>
      <border>
        <top style="thin">
          <color auto="1"/>
        </top>
        <bottom style="thin">
          <color auto="1"/>
        </bottom>
      </border>
    </dxf>
    <dxf>
      <fill>
        <patternFill>
          <bgColor rgb="FFFF0000"/>
        </patternFill>
      </fill>
    </dxf>
    <dxf>
      <fill>
        <patternFill>
          <bgColor rgb="FFFFD966"/>
        </patternFill>
      </fill>
    </dxf>
    <dxf>
      <font>
        <color theme="0"/>
      </font>
      <fill>
        <patternFill>
          <fgColor theme="0"/>
          <bgColor theme="0"/>
        </patternFill>
      </fill>
      <border>
        <left/>
        <right/>
        <top/>
        <bottom/>
        <vertical/>
        <horizontal/>
      </border>
    </dxf>
    <dxf>
      <border>
        <left/>
        <right/>
        <top style="thin">
          <color auto="1"/>
        </top>
        <bottom/>
        <vertical/>
        <horizontal/>
      </border>
    </dxf>
    <dxf>
      <font>
        <color theme="0"/>
      </font>
      <fill>
        <patternFill>
          <fgColor theme="0"/>
          <bgColor theme="0"/>
        </patternFill>
      </fill>
      <border>
        <left/>
        <right/>
        <top/>
        <bottom/>
        <vertical/>
        <horizontal/>
      </border>
    </dxf>
    <dxf>
      <fill>
        <patternFill>
          <bgColor theme="8" tint="0.59996337778862885"/>
        </patternFill>
      </fill>
    </dxf>
    <dxf>
      <font>
        <b/>
        <i val="0"/>
      </font>
      <fill>
        <patternFill>
          <bgColor theme="8" tint="0.59996337778862885"/>
        </patternFill>
      </fill>
      <border>
        <top style="thin">
          <color auto="1"/>
        </top>
        <bottom style="thin">
          <color auto="1"/>
        </bottom>
      </border>
    </dxf>
    <dxf>
      <font>
        <color theme="0"/>
      </font>
      <fill>
        <patternFill>
          <bgColor theme="0"/>
        </patternFill>
      </fill>
      <border>
        <right/>
        <bottom/>
      </border>
    </dxf>
    <dxf>
      <font>
        <color theme="0"/>
      </font>
      <fill>
        <patternFill>
          <bgColor theme="0"/>
        </patternFill>
      </fill>
      <border>
        <left/>
        <right/>
        <top/>
        <bottom/>
        <vertical/>
        <horizontal/>
      </border>
    </dxf>
    <dxf>
      <font>
        <color theme="0"/>
      </font>
      <fill>
        <patternFill>
          <bgColor theme="0"/>
        </patternFill>
      </fill>
      <border>
        <left/>
        <right/>
        <bottom/>
        <vertical/>
        <horizontal/>
      </border>
    </dxf>
    <dxf>
      <font>
        <color theme="0"/>
      </font>
      <fill>
        <patternFill>
          <bgColor theme="0"/>
        </patternFill>
      </fill>
      <border>
        <left/>
        <right/>
      </border>
    </dxf>
    <dxf>
      <border>
        <top style="dashed">
          <color auto="1"/>
        </top>
        <vertical/>
        <horizontal/>
      </border>
    </dxf>
    <dxf>
      <font>
        <color theme="0"/>
      </font>
      <fill>
        <patternFill>
          <bgColor theme="0"/>
        </patternFill>
      </fill>
      <border>
        <left/>
        <right/>
        <top/>
        <bottom/>
      </border>
    </dxf>
    <dxf>
      <border>
        <left/>
        <right/>
        <top style="thin">
          <color auto="1"/>
        </top>
        <bottom/>
        <vertical/>
        <horizontal/>
      </border>
    </dxf>
    <dxf>
      <font>
        <color theme="0"/>
      </font>
      <fill>
        <patternFill>
          <fgColor theme="0"/>
          <bgColor theme="0"/>
        </patternFill>
      </fill>
      <border>
        <left/>
        <right/>
        <top/>
        <bottom/>
        <vertical/>
        <horizontal/>
      </border>
    </dxf>
    <dxf>
      <fill>
        <patternFill>
          <bgColor theme="8" tint="0.59996337778862885"/>
        </patternFill>
      </fill>
    </dxf>
    <dxf>
      <font>
        <b/>
        <i val="0"/>
      </font>
      <fill>
        <patternFill>
          <bgColor theme="8" tint="0.59996337778862885"/>
        </patternFill>
      </fill>
      <border>
        <top style="thin">
          <color auto="1"/>
        </top>
        <bottom style="thin">
          <color auto="1"/>
        </bottom>
      </border>
    </dxf>
    <dxf>
      <font>
        <b/>
        <i val="0"/>
      </font>
      <fill>
        <patternFill>
          <bgColor rgb="FFFF5050"/>
        </patternFill>
      </fill>
    </dxf>
    <dxf>
      <fill>
        <patternFill>
          <bgColor rgb="FFFFD966"/>
        </patternFill>
      </fill>
    </dxf>
    <dxf>
      <font>
        <color theme="0"/>
      </font>
      <fill>
        <patternFill>
          <bgColor theme="0"/>
        </patternFill>
      </fill>
      <border>
        <left/>
        <right/>
        <top/>
        <bottom/>
      </border>
    </dxf>
    <dxf>
      <fill>
        <patternFill>
          <bgColor theme="0"/>
        </patternFill>
      </fill>
      <border>
        <left/>
        <right/>
        <top/>
        <bottom/>
        <vertical/>
        <horizontal/>
      </border>
    </dxf>
    <dxf>
      <font>
        <b/>
        <i val="0"/>
      </font>
      <fill>
        <patternFill>
          <bgColor theme="8" tint="0.59996337778862885"/>
        </patternFill>
      </fill>
      <border>
        <top style="thin">
          <color auto="1"/>
        </top>
        <bottom style="thin">
          <color auto="1"/>
        </bottom>
      </border>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7" tint="0.59996337778862885"/>
        </patternFill>
      </fill>
      <border>
        <left style="thin">
          <color auto="1"/>
        </left>
        <right style="thin">
          <color auto="1"/>
        </right>
        <top style="thin">
          <color auto="1"/>
        </top>
        <bottom style="thin">
          <color auto="1"/>
        </bottom>
        <vertical/>
        <horizontal/>
      </border>
    </dxf>
    <dxf>
      <font>
        <b/>
        <i val="0"/>
      </font>
      <fill>
        <patternFill>
          <bgColor theme="7" tint="0.39994506668294322"/>
        </patternFill>
      </fill>
      <border>
        <left style="thin">
          <color auto="1"/>
        </left>
        <right style="thin">
          <color auto="1"/>
        </right>
        <top style="thin">
          <color auto="1"/>
        </top>
        <bottom style="thin">
          <color auto="1"/>
        </bottom>
        <vertical/>
        <horizontal/>
      </border>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patternType="solid">
          <fgColor auto="1"/>
          <bgColor theme="1"/>
        </patternFill>
      </fill>
    </dxf>
    <dxf>
      <font>
        <b/>
        <i val="0"/>
        <color rgb="FFFF0000"/>
      </font>
    </dxf>
    <dxf>
      <font>
        <b/>
        <i val="0"/>
        <color rgb="FFFF0000"/>
      </font>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rgb="FFFF000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patternType="solid">
          <fgColor auto="1"/>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patternType="solid">
          <fgColor auto="1"/>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patternType="solid">
          <fgColor auto="1"/>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patternType="solid">
          <fgColor auto="1"/>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patternType="solid">
          <fgColor auto="1"/>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patternType="solid">
          <fgColor auto="1"/>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patternType="solid">
          <fgColor auto="1"/>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patternType="solid">
          <fgColor auto="1"/>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patternType="solid">
          <fgColor auto="1"/>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patternType="solid">
          <fgColor auto="1"/>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patternType="solid">
          <fgColor auto="1"/>
          <bgColor theme="1"/>
        </patternFill>
      </fill>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7" tint="0.59996337778862885"/>
        </patternFill>
      </fill>
      <border>
        <left style="thin">
          <color auto="1"/>
        </left>
        <right style="thin">
          <color auto="1"/>
        </right>
        <top style="thin">
          <color auto="1"/>
        </top>
        <bottom style="thin">
          <color auto="1"/>
        </bottom>
        <vertical/>
        <horizontal/>
      </border>
    </dxf>
    <dxf>
      <font>
        <b/>
        <i val="0"/>
      </font>
      <fill>
        <patternFill>
          <bgColor theme="7" tint="0.39994506668294322"/>
        </patternFill>
      </fill>
      <border>
        <left style="thin">
          <color auto="1"/>
        </left>
        <right style="thin">
          <color auto="1"/>
        </right>
        <top style="thin">
          <color auto="1"/>
        </top>
        <bottom style="thin">
          <color auto="1"/>
        </bottom>
        <vertical/>
        <horizontal/>
      </border>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patternType="solid">
          <fgColor auto="1"/>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7" tint="0.59996337778862885"/>
        </patternFill>
      </fill>
      <border>
        <left style="thin">
          <color auto="1"/>
        </left>
        <right style="thin">
          <color auto="1"/>
        </right>
        <top style="thin">
          <color auto="1"/>
        </top>
        <bottom style="thin">
          <color auto="1"/>
        </bottom>
        <vertical/>
        <horizontal/>
      </border>
    </dxf>
    <dxf>
      <font>
        <b/>
        <i val="0"/>
      </font>
      <fill>
        <patternFill>
          <bgColor theme="7" tint="0.39994506668294322"/>
        </patternFill>
      </fill>
      <border>
        <left style="thin">
          <color auto="1"/>
        </left>
        <right style="thin">
          <color auto="1"/>
        </right>
        <top style="thin">
          <color auto="1"/>
        </top>
        <bottom style="thin">
          <color auto="1"/>
        </bottom>
        <vertical/>
        <horizontal/>
      </border>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patternType="solid">
          <fgColor auto="1"/>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patternType="solid">
          <fgColor auto="1"/>
          <bgColor theme="1"/>
        </patternFill>
      </fill>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1"/>
        </patternFill>
      </fill>
    </dxf>
    <dxf>
      <fill>
        <patternFill>
          <bgColor theme="1"/>
        </patternFill>
      </fill>
    </dxf>
    <dxf>
      <fill>
        <patternFill>
          <bgColor theme="1"/>
        </patternFill>
      </fill>
    </dxf>
    <dxf>
      <font>
        <color theme="9"/>
      </font>
    </dxf>
  </dxfs>
  <tableStyles count="0" defaultTableStyle="TableStyleMedium2" defaultPivotStyle="PivotStyleLight16"/>
  <colors>
    <mruColors>
      <color rgb="FFFF5050"/>
      <color rgb="FFF48D3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8"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customXml" Target="../customXml/item3.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eetMetadata" Target="metadata.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62" Type="http://schemas.microsoft.com/office/2006/relationships/vbaProject" Target="vbaProject.bin"/><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microsoft.com/office/2017/10/relationships/person" Target="persons/perso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2.xml"/><Relationship Id="rId6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47625</xdr:colOff>
      <xdr:row>5</xdr:row>
      <xdr:rowOff>361950</xdr:rowOff>
    </xdr:from>
    <xdr:to>
      <xdr:col>7</xdr:col>
      <xdr:colOff>0</xdr:colOff>
      <xdr:row>7</xdr:row>
      <xdr:rowOff>92075</xdr:rowOff>
    </xdr:to>
    <xdr:sp macro="" textlink="">
      <xdr:nvSpPr>
        <xdr:cNvPr id="2" name="CasellaDiTesto 1">
          <a:extLst>
            <a:ext uri="{FF2B5EF4-FFF2-40B4-BE49-F238E27FC236}">
              <a16:creationId xmlns:a16="http://schemas.microsoft.com/office/drawing/2014/main" id="{00000000-0008-0000-0000-000002000000}"/>
            </a:ext>
          </a:extLst>
        </xdr:cNvPr>
        <xdr:cNvSpPr txBox="1"/>
      </xdr:nvSpPr>
      <xdr:spPr>
        <a:xfrm>
          <a:off x="3238500" y="1314450"/>
          <a:ext cx="3000375" cy="596900"/>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it-IT" sz="1100"/>
            <a:t>Solo per CAPO III inserire il valore annuo delle rate del finanziamento (Bancario e Soci) inerenti al progetto presentato alle agevolazioni</a:t>
          </a:r>
        </a:p>
      </xdr:txBody>
    </xdr:sp>
    <xdr:clientData/>
  </xdr:twoCellAnchor>
  <xdr:twoCellAnchor>
    <xdr:from>
      <xdr:col>2</xdr:col>
      <xdr:colOff>47625</xdr:colOff>
      <xdr:row>2</xdr:row>
      <xdr:rowOff>168275</xdr:rowOff>
    </xdr:from>
    <xdr:to>
      <xdr:col>6</xdr:col>
      <xdr:colOff>606425</xdr:colOff>
      <xdr:row>5</xdr:row>
      <xdr:rowOff>120650</xdr:rowOff>
    </xdr:to>
    <xdr:sp macro="" textlink="">
      <xdr:nvSpPr>
        <xdr:cNvPr id="5" name="CasellaDiTesto 4">
          <a:extLst>
            <a:ext uri="{FF2B5EF4-FFF2-40B4-BE49-F238E27FC236}">
              <a16:creationId xmlns:a16="http://schemas.microsoft.com/office/drawing/2014/main" id="{00000000-0008-0000-0000-000005000000}"/>
            </a:ext>
          </a:extLst>
        </xdr:cNvPr>
        <xdr:cNvSpPr txBox="1"/>
      </xdr:nvSpPr>
      <xdr:spPr>
        <a:xfrm>
          <a:off x="3238500" y="549275"/>
          <a:ext cx="2997200" cy="523875"/>
        </a:xfrm>
        <a:prstGeom prst="rect">
          <a:avLst/>
        </a:prstGeom>
        <a:solidFill>
          <a:srgbClr val="ED7D31">
            <a:lumMod val="40000"/>
            <a:lumOff val="60000"/>
          </a:srgbClr>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Se l'impresa non era costituita al momento della presentazione inserire la data di presentazione</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495300</xdr:colOff>
          <xdr:row>6</xdr:row>
          <xdr:rowOff>95250</xdr:rowOff>
        </xdr:from>
        <xdr:to>
          <xdr:col>8</xdr:col>
          <xdr:colOff>781050</xdr:colOff>
          <xdr:row>10</xdr:row>
          <xdr:rowOff>171450</xdr:rowOff>
        </xdr:to>
        <xdr:sp macro="" textlink="">
          <xdr:nvSpPr>
            <xdr:cNvPr id="6200" name="Button 56" hidden="1">
              <a:extLst>
                <a:ext uri="{63B3BB69-23CF-44E3-9099-C40C66FF867C}">
                  <a14:compatExt spid="_x0000_s6200"/>
                </a:ext>
                <a:ext uri="{FF2B5EF4-FFF2-40B4-BE49-F238E27FC236}">
                  <a16:creationId xmlns:a16="http://schemas.microsoft.com/office/drawing/2014/main" id="{00000000-0008-0000-0500-0000381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it-IT" sz="1100" b="0" i="0" u="none" strike="noStrike" baseline="0">
                  <a:solidFill>
                    <a:srgbClr val="000000"/>
                  </a:solidFill>
                  <a:latin typeface="Calibri"/>
                  <a:cs typeface="Calibri"/>
                </a:rPr>
                <a:t>IMPORTA DATI EDITABILI</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22411</xdr:colOff>
      <xdr:row>0</xdr:row>
      <xdr:rowOff>0</xdr:rowOff>
    </xdr:from>
    <xdr:to>
      <xdr:col>16383</xdr:col>
      <xdr:colOff>24093</xdr:colOff>
      <xdr:row>2</xdr:row>
      <xdr:rowOff>1109381</xdr:rowOff>
    </xdr:to>
    <xdr:sp macro="" textlink="">
      <xdr:nvSpPr>
        <xdr:cNvPr id="2" name="Rettangolo 1">
          <a:extLst>
            <a:ext uri="{FF2B5EF4-FFF2-40B4-BE49-F238E27FC236}">
              <a16:creationId xmlns:a16="http://schemas.microsoft.com/office/drawing/2014/main" id="{00000000-0008-0000-0A00-000002000000}"/>
            </a:ext>
          </a:extLst>
        </xdr:cNvPr>
        <xdr:cNvSpPr/>
      </xdr:nvSpPr>
      <xdr:spPr>
        <a:xfrm>
          <a:off x="3428999" y="0"/>
          <a:ext cx="8226800" cy="2375646"/>
        </a:xfrm>
        <a:prstGeom prst="rect">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it-IT" sz="1600" b="1" i="0" u="none" strike="noStrike" kern="0" cap="none" spc="0" normalizeH="0" baseline="0" noProof="0">
              <a:ln>
                <a:noFill/>
              </a:ln>
              <a:solidFill>
                <a:sysClr val="windowText" lastClr="000000"/>
              </a:solidFill>
              <a:effectLst/>
              <a:uLnTx/>
              <a:uFillTx/>
              <a:latin typeface="Calibri" panose="020F0502020204030204"/>
              <a:ea typeface="+mn-ea"/>
              <a:cs typeface="+mn-cs"/>
            </a:rPr>
            <a:t>CONTRIBUTO FINANZIARIO PER LE IMPRESE CHE RIENTRANO NEL CAPO II DELLA NORMATIVA</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rPr>
            <a:t>N.B.</a:t>
          </a:r>
        </a:p>
        <a:p>
          <a:pPr marL="0" marR="0" lvl="0" indent="0" algn="l" defTabSz="914400" eaLnBrk="1" fontAlgn="auto" latinLnBrk="0" hangingPunct="1">
            <a:lnSpc>
              <a:spcPct val="100000"/>
            </a:lnSpc>
            <a:spcBef>
              <a:spcPts val="0"/>
            </a:spcBef>
            <a:spcAft>
              <a:spcPts val="0"/>
            </a:spcAft>
            <a:buClrTx/>
            <a:buSzTx/>
            <a:buFontTx/>
            <a:buNone/>
            <a:tabLst/>
            <a:defRPr/>
          </a:pP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Attiva il calcolo</a:t>
          </a:r>
        </a:p>
        <a:p>
          <a:pPr marL="0" marR="0" lvl="0" indent="0" algn="l" defTabSz="914400" eaLnBrk="1" fontAlgn="auto" latinLnBrk="0" hangingPunct="1">
            <a:lnSpc>
              <a:spcPct val="100000"/>
            </a:lnSpc>
            <a:spcBef>
              <a:spcPts val="0"/>
            </a:spcBef>
            <a:spcAft>
              <a:spcPts val="0"/>
            </a:spcAft>
            <a:buClrTx/>
            <a:buSzTx/>
            <a:buFontTx/>
            <a:buNone/>
            <a:tabLst/>
            <a:defRPr/>
          </a:pP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iterativo fra le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opzioni di Excel</a:t>
          </a:r>
          <a:endParaRPr kumimoji="0" lang="it-IT" sz="18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0</xdr:col>
      <xdr:colOff>11206</xdr:colOff>
      <xdr:row>3</xdr:row>
      <xdr:rowOff>59453</xdr:rowOff>
    </xdr:from>
    <xdr:to>
      <xdr:col>0</xdr:col>
      <xdr:colOff>3014072</xdr:colOff>
      <xdr:row>7</xdr:row>
      <xdr:rowOff>257735</xdr:rowOff>
    </xdr:to>
    <xdr:sp macro="" textlink="">
      <xdr:nvSpPr>
        <xdr:cNvPr id="4" name="Freccia a destra 3">
          <a:extLst>
            <a:ext uri="{FF2B5EF4-FFF2-40B4-BE49-F238E27FC236}">
              <a16:creationId xmlns:a16="http://schemas.microsoft.com/office/drawing/2014/main" id="{00000000-0008-0000-0A00-000004000000}"/>
            </a:ext>
          </a:extLst>
        </xdr:cNvPr>
        <xdr:cNvSpPr/>
      </xdr:nvSpPr>
      <xdr:spPr>
        <a:xfrm>
          <a:off x="11206" y="2435100"/>
          <a:ext cx="3002866" cy="1430929"/>
        </a:xfrm>
        <a:prstGeom prst="rightArrow">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100" b="1" i="0" u="none" strike="noStrike" kern="0" cap="none" spc="0" normalizeH="0" baseline="0" noProof="0">
              <a:ln>
                <a:noFill/>
              </a:ln>
              <a:solidFill>
                <a:srgbClr val="002060"/>
              </a:solidFill>
              <a:effectLst/>
              <a:uLnTx/>
              <a:uFillTx/>
              <a:latin typeface="Calibri" panose="020F0502020204030204"/>
              <a:ea typeface="+mn-ea"/>
              <a:cs typeface="+mn-cs"/>
            </a:rPr>
            <a:t>1. Indica dove si trova la sede operativa</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100" b="1" i="0" u="none" strike="noStrike" kern="0" cap="none" spc="0" normalizeH="0" baseline="0" noProof="0">
              <a:ln>
                <a:noFill/>
              </a:ln>
              <a:solidFill>
                <a:srgbClr val="002060"/>
              </a:solidFill>
              <a:effectLst/>
              <a:uLnTx/>
              <a:uFillTx/>
              <a:latin typeface="Calibri" panose="020F0502020204030204"/>
              <a:ea typeface="+mn-ea"/>
              <a:cs typeface="+mn-cs"/>
            </a:rPr>
            <a:t>dell'iniziativa ed </a:t>
          </a:r>
        </a:p>
      </xdr:txBody>
    </xdr:sp>
    <xdr:clientData/>
  </xdr:twoCellAnchor>
  <xdr:twoCellAnchor>
    <xdr:from>
      <xdr:col>0</xdr:col>
      <xdr:colOff>75957</xdr:colOff>
      <xdr:row>29</xdr:row>
      <xdr:rowOff>22413</xdr:rowOff>
    </xdr:from>
    <xdr:to>
      <xdr:col>0</xdr:col>
      <xdr:colOff>3283323</xdr:colOff>
      <xdr:row>33</xdr:row>
      <xdr:rowOff>43580</xdr:rowOff>
    </xdr:to>
    <xdr:sp macro="" textlink="">
      <xdr:nvSpPr>
        <xdr:cNvPr id="7" name="Freccia a destra 6">
          <a:extLst>
            <a:ext uri="{FF2B5EF4-FFF2-40B4-BE49-F238E27FC236}">
              <a16:creationId xmlns:a16="http://schemas.microsoft.com/office/drawing/2014/main" id="{00000000-0008-0000-0A00-000007000000}"/>
            </a:ext>
          </a:extLst>
        </xdr:cNvPr>
        <xdr:cNvSpPr/>
      </xdr:nvSpPr>
      <xdr:spPr>
        <a:xfrm>
          <a:off x="75957" y="11306737"/>
          <a:ext cx="3207366" cy="1377078"/>
        </a:xfrm>
        <a:prstGeom prst="rightArrow">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100" b="1" i="0" u="none" strike="noStrike" kern="0" cap="none" spc="0" normalizeH="0" baseline="0" noProof="0">
              <a:ln>
                <a:noFill/>
              </a:ln>
              <a:solidFill>
                <a:srgbClr val="002060"/>
              </a:solidFill>
              <a:effectLst/>
              <a:uLnTx/>
              <a:uFillTx/>
              <a:latin typeface="Calibri" panose="020F0502020204030204"/>
              <a:ea typeface="+mn-ea"/>
              <a:cs typeface="+mn-cs"/>
            </a:rPr>
            <a:t>4. Trova quella che per te è la miglior combinazione fra mutuo a tasso zero e fondo perduto</a:t>
          </a:r>
        </a:p>
      </xdr:txBody>
    </xdr:sp>
    <xdr:clientData/>
  </xdr:twoCellAnchor>
  <xdr:twoCellAnchor editAs="oneCell">
    <xdr:from>
      <xdr:col>1</xdr:col>
      <xdr:colOff>1284526</xdr:colOff>
      <xdr:row>0</xdr:row>
      <xdr:rowOff>441599</xdr:rowOff>
    </xdr:from>
    <xdr:to>
      <xdr:col>3</xdr:col>
      <xdr:colOff>1551267</xdr:colOff>
      <xdr:row>2</xdr:row>
      <xdr:rowOff>963706</xdr:rowOff>
    </xdr:to>
    <xdr:pic>
      <xdr:nvPicPr>
        <xdr:cNvPr id="9" name="Immagine 8">
          <a:extLst>
            <a:ext uri="{FF2B5EF4-FFF2-40B4-BE49-F238E27FC236}">
              <a16:creationId xmlns:a16="http://schemas.microsoft.com/office/drawing/2014/main" id="{00000000-0008-0000-0A00-000009000000}"/>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3000"/>
                  </a14:imgEffect>
                  <a14:imgEffect>
                    <a14:brightnessContrast bright="-9000" contrast="22000"/>
                  </a14:imgEffect>
                </a14:imgLayer>
              </a14:imgProps>
            </a:ext>
          </a:extLst>
        </a:blip>
        <a:stretch>
          <a:fillRect/>
        </a:stretch>
      </xdr:blipFill>
      <xdr:spPr>
        <a:xfrm>
          <a:off x="4691114" y="441599"/>
          <a:ext cx="6626827" cy="1788372"/>
        </a:xfrm>
        <a:prstGeom prst="rect">
          <a:avLst/>
        </a:prstGeom>
      </xdr:spPr>
    </xdr:pic>
    <xdr:clientData/>
  </xdr:twoCellAnchor>
  <xdr:twoCellAnchor>
    <xdr:from>
      <xdr:col>0</xdr:col>
      <xdr:colOff>0</xdr:colOff>
      <xdr:row>8</xdr:row>
      <xdr:rowOff>61012</xdr:rowOff>
    </xdr:from>
    <xdr:to>
      <xdr:col>0</xdr:col>
      <xdr:colOff>3112430</xdr:colOff>
      <xdr:row>9</xdr:row>
      <xdr:rowOff>347383</xdr:rowOff>
    </xdr:to>
    <xdr:sp macro="" textlink="">
      <xdr:nvSpPr>
        <xdr:cNvPr id="11" name="Freccia a destra 10">
          <a:extLst>
            <a:ext uri="{FF2B5EF4-FFF2-40B4-BE49-F238E27FC236}">
              <a16:creationId xmlns:a16="http://schemas.microsoft.com/office/drawing/2014/main" id="{00000000-0008-0000-0A00-00000B000000}"/>
            </a:ext>
          </a:extLst>
        </xdr:cNvPr>
        <xdr:cNvSpPr/>
      </xdr:nvSpPr>
      <xdr:spPr>
        <a:xfrm>
          <a:off x="0" y="4195983"/>
          <a:ext cx="3112430" cy="1194047"/>
        </a:xfrm>
        <a:prstGeom prst="rightArrow">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100" b="1" i="0" u="none" strike="noStrike" kern="0" cap="none" spc="0" normalizeH="0" baseline="0" noProof="0">
              <a:ln>
                <a:noFill/>
              </a:ln>
              <a:solidFill>
                <a:srgbClr val="002060"/>
              </a:solidFill>
              <a:effectLst/>
              <a:uLnTx/>
              <a:uFillTx/>
              <a:latin typeface="Calibri" panose="020F0502020204030204"/>
              <a:ea typeface="+mn-ea"/>
              <a:cs typeface="+mn-cs"/>
            </a:rPr>
            <a:t>2.</a:t>
          </a:r>
          <a:r>
            <a:rPr kumimoji="0" lang="it-IT" sz="1100" b="0" i="0" u="none" strike="noStrike" kern="0" cap="none" spc="0" normalizeH="0" baseline="0" noProof="0">
              <a:ln>
                <a:noFill/>
              </a:ln>
              <a:solidFill>
                <a:sysClr val="window" lastClr="FFFFFF"/>
              </a:solidFill>
              <a:effectLst/>
              <a:uLnTx/>
              <a:uFillTx/>
              <a:latin typeface="Calibri" panose="020F0502020204030204"/>
              <a:ea typeface="+mn-ea"/>
              <a:cs typeface="+mn-cs"/>
            </a:rPr>
            <a:t>. </a:t>
          </a:r>
          <a:r>
            <a:rPr lang="it-IT" sz="1100" b="0" i="0" baseline="0">
              <a:effectLst/>
              <a:latin typeface="+mn-lt"/>
              <a:ea typeface="+mn-ea"/>
              <a:cs typeface="+mn-cs"/>
            </a:rPr>
            <a:t> </a:t>
          </a:r>
          <a:r>
            <a:rPr kumimoji="0" lang="it-IT" sz="1100" b="1" i="0" u="none" strike="noStrike" kern="0" cap="none" spc="0" normalizeH="0" baseline="0">
              <a:ln>
                <a:noFill/>
              </a:ln>
              <a:solidFill>
                <a:srgbClr val="002060"/>
              </a:solidFill>
              <a:effectLst/>
              <a:uLnTx/>
              <a:uFillTx/>
              <a:latin typeface="Calibri" panose="020F0502020204030204"/>
              <a:ea typeface="+mn-ea"/>
              <a:cs typeface="+mn-cs"/>
            </a:rPr>
            <a:t>Indica eventuali campi oggetto di premialità </a:t>
          </a:r>
          <a:endParaRPr kumimoji="0" lang="it-IT" sz="1100" b="1" i="0" u="none" strike="noStrike" kern="0" cap="none" spc="0" normalizeH="0" baseline="0" noProof="0">
            <a:ln>
              <a:noFill/>
            </a:ln>
            <a:solidFill>
              <a:srgbClr val="002060"/>
            </a:solidFill>
            <a:effectLst/>
            <a:uLnTx/>
            <a:uFillTx/>
            <a:latin typeface="Calibri" panose="020F0502020204030204"/>
            <a:ea typeface="+mn-ea"/>
            <a:cs typeface="+mn-cs"/>
          </a:endParaRPr>
        </a:p>
      </xdr:txBody>
    </xdr:sp>
    <xdr:clientData/>
  </xdr:twoCellAnchor>
  <mc:AlternateContent xmlns:mc="http://schemas.openxmlformats.org/markup-compatibility/2006">
    <mc:Choice xmlns:a14="http://schemas.microsoft.com/office/drawing/2010/main" Requires="a14">
      <xdr:twoCellAnchor>
        <xdr:from>
          <xdr:col>0</xdr:col>
          <xdr:colOff>260350</xdr:colOff>
          <xdr:row>12</xdr:row>
          <xdr:rowOff>107950</xdr:rowOff>
        </xdr:from>
        <xdr:to>
          <xdr:col>0</xdr:col>
          <xdr:colOff>2628900</xdr:colOff>
          <xdr:row>14</xdr:row>
          <xdr:rowOff>69850</xdr:rowOff>
        </xdr:to>
        <xdr:sp macro="" textlink="">
          <xdr:nvSpPr>
            <xdr:cNvPr id="19457" name="Button 1" hidden="1">
              <a:extLst>
                <a:ext uri="{63B3BB69-23CF-44E3-9099-C40C66FF867C}">
                  <a14:compatExt spid="_x0000_s19457"/>
                </a:ext>
                <a:ext uri="{FF2B5EF4-FFF2-40B4-BE49-F238E27FC236}">
                  <a16:creationId xmlns:a16="http://schemas.microsoft.com/office/drawing/2014/main" id="{00000000-0008-0000-0A00-0000014C0000}"/>
                </a:ext>
              </a:extLst>
            </xdr:cNvPr>
            <xdr:cNvSpPr/>
          </xdr:nvSpPr>
          <xdr:spPr bwMode="auto">
            <a:xfrm>
              <a:off x="0" y="0"/>
              <a:ext cx="0" cy="0"/>
            </a:xfrm>
            <a:prstGeom prst="rect">
              <a:avLst/>
            </a:prstGeom>
            <a:noFill/>
            <a:ln w="9525">
              <a:miter lim="800000"/>
              <a:headEnd/>
              <a:tailEnd/>
            </a:ln>
          </xdr:spPr>
          <xdr:txBody>
            <a:bodyPr vertOverflow="clip" wrap="square" lIns="45720" tIns="45720" rIns="45720" bIns="45720" anchor="ctr" upright="1"/>
            <a:lstStyle/>
            <a:p>
              <a:pPr algn="ctr" rtl="0">
                <a:defRPr sz="1000"/>
              </a:pPr>
              <a:r>
                <a:rPr lang="it-IT" sz="1400" b="0" i="0" u="none" strike="noStrike" baseline="0">
                  <a:solidFill>
                    <a:srgbClr val="000000"/>
                  </a:solidFill>
                  <a:latin typeface="Calibri"/>
                  <a:cs typeface="Calibri"/>
                </a:rPr>
                <a:t>3. Clicca qui per dettagliare il programma di investimento</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9525</xdr:colOff>
      <xdr:row>1</xdr:row>
      <xdr:rowOff>3176</xdr:rowOff>
    </xdr:from>
    <xdr:to>
      <xdr:col>4</xdr:col>
      <xdr:colOff>0</xdr:colOff>
      <xdr:row>2</xdr:row>
      <xdr:rowOff>922866</xdr:rowOff>
    </xdr:to>
    <xdr:sp macro="" textlink="">
      <xdr:nvSpPr>
        <xdr:cNvPr id="9" name="Rettangolo 8">
          <a:extLst>
            <a:ext uri="{FF2B5EF4-FFF2-40B4-BE49-F238E27FC236}">
              <a16:creationId xmlns:a16="http://schemas.microsoft.com/office/drawing/2014/main" id="{00000000-0008-0000-0B00-000009000000}"/>
            </a:ext>
          </a:extLst>
        </xdr:cNvPr>
        <xdr:cNvSpPr/>
      </xdr:nvSpPr>
      <xdr:spPr>
        <a:xfrm>
          <a:off x="3238500" y="203201"/>
          <a:ext cx="7210425" cy="1786465"/>
        </a:xfrm>
        <a:prstGeom prst="rect">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t"/>
        <a:lstStyle/>
        <a:p>
          <a:pPr eaLnBrk="1" fontAlgn="auto" latinLnBrk="0" hangingPunct="1"/>
          <a:r>
            <a:rPr lang="it-IT" sz="1400" b="1" i="0" baseline="0">
              <a:effectLst/>
              <a:latin typeface="+mn-lt"/>
              <a:ea typeface="+mn-ea"/>
              <a:cs typeface="+mn-cs"/>
            </a:rPr>
            <a:t>CONTRIBUTO FINANZIARIO PER LE IMPRESE CHE RIENTRANO NEL CAPO III DELLA NORMATIVA</a:t>
          </a:r>
          <a:endParaRPr lang="it-IT" sz="1400">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rPr>
            <a:t>N.B.</a:t>
          </a:r>
        </a:p>
        <a:p>
          <a:pPr marL="0" marR="0" lvl="0" indent="0" algn="l" defTabSz="914400" eaLnBrk="1" fontAlgn="auto" latinLnBrk="0" hangingPunct="1">
            <a:lnSpc>
              <a:spcPct val="100000"/>
            </a:lnSpc>
            <a:spcBef>
              <a:spcPts val="0"/>
            </a:spcBef>
            <a:spcAft>
              <a:spcPts val="0"/>
            </a:spcAft>
            <a:buClrTx/>
            <a:buSzTx/>
            <a:buFontTx/>
            <a:buNone/>
            <a:tabLst/>
            <a:defRPr/>
          </a:pP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Attiva il calcolo</a:t>
          </a:r>
        </a:p>
        <a:p>
          <a:pPr marL="0" marR="0" lvl="0" indent="0" algn="l" defTabSz="914400" eaLnBrk="1" fontAlgn="auto" latinLnBrk="0" hangingPunct="1">
            <a:lnSpc>
              <a:spcPct val="100000"/>
            </a:lnSpc>
            <a:spcBef>
              <a:spcPts val="0"/>
            </a:spcBef>
            <a:spcAft>
              <a:spcPts val="0"/>
            </a:spcAft>
            <a:buClrTx/>
            <a:buSzTx/>
            <a:buFontTx/>
            <a:buNone/>
            <a:tabLst/>
            <a:defRPr/>
          </a:pP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iterativo fra le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opzioni di Excel</a:t>
          </a:r>
          <a:endParaRPr kumimoji="0" lang="it-IT" sz="18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editAs="oneCell">
    <xdr:from>
      <xdr:col>1</xdr:col>
      <xdr:colOff>1209675</xdr:colOff>
      <xdr:row>1</xdr:row>
      <xdr:rowOff>345343</xdr:rowOff>
    </xdr:from>
    <xdr:to>
      <xdr:col>3</xdr:col>
      <xdr:colOff>2038350</xdr:colOff>
      <xdr:row>2</xdr:row>
      <xdr:rowOff>857250</xdr:rowOff>
    </xdr:to>
    <xdr:pic>
      <xdr:nvPicPr>
        <xdr:cNvPr id="10" name="Immagine 9">
          <a:extLst>
            <a:ext uri="{FF2B5EF4-FFF2-40B4-BE49-F238E27FC236}">
              <a16:creationId xmlns:a16="http://schemas.microsoft.com/office/drawing/2014/main" id="{00000000-0008-0000-0B00-00000A000000}"/>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3000"/>
                  </a14:imgEffect>
                  <a14:imgEffect>
                    <a14:brightnessContrast bright="-9000" contrast="22000"/>
                  </a14:imgEffect>
                </a14:imgLayer>
              </a14:imgProps>
            </a:ext>
          </a:extLst>
        </a:blip>
        <a:stretch>
          <a:fillRect/>
        </a:stretch>
      </xdr:blipFill>
      <xdr:spPr>
        <a:xfrm>
          <a:off x="4594225" y="535843"/>
          <a:ext cx="5959475" cy="1381857"/>
        </a:xfrm>
        <a:prstGeom prst="rect">
          <a:avLst/>
        </a:prstGeom>
      </xdr:spPr>
    </xdr:pic>
    <xdr:clientData/>
  </xdr:twoCellAnchor>
  <mc:AlternateContent xmlns:mc="http://schemas.openxmlformats.org/markup-compatibility/2006">
    <mc:Choice xmlns:a14="http://schemas.microsoft.com/office/drawing/2010/main" Requires="a14">
      <xdr:twoCellAnchor>
        <xdr:from>
          <xdr:col>1</xdr:col>
          <xdr:colOff>31750</xdr:colOff>
          <xdr:row>34</xdr:row>
          <xdr:rowOff>31750</xdr:rowOff>
        </xdr:from>
        <xdr:to>
          <xdr:col>1</xdr:col>
          <xdr:colOff>3003550</xdr:colOff>
          <xdr:row>34</xdr:row>
          <xdr:rowOff>717550</xdr:rowOff>
        </xdr:to>
        <xdr:sp macro="" textlink="">
          <xdr:nvSpPr>
            <xdr:cNvPr id="20484" name="Button 4" hidden="1">
              <a:extLst>
                <a:ext uri="{63B3BB69-23CF-44E3-9099-C40C66FF867C}">
                  <a14:compatExt spid="_x0000_s20484"/>
                </a:ext>
                <a:ext uri="{FF2B5EF4-FFF2-40B4-BE49-F238E27FC236}">
                  <a16:creationId xmlns:a16="http://schemas.microsoft.com/office/drawing/2014/main" id="{00000000-0008-0000-0B00-0000045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it-IT" sz="1100" b="0" i="0" u="none" strike="noStrike" baseline="0">
                  <a:solidFill>
                    <a:srgbClr val="000000"/>
                  </a:solidFill>
                  <a:latin typeface="Calibri"/>
                  <a:cs typeface="Calibri"/>
                </a:rPr>
                <a:t>Ucraina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19050</xdr:colOff>
          <xdr:row>34</xdr:row>
          <xdr:rowOff>19050</xdr:rowOff>
        </xdr:from>
        <xdr:to>
          <xdr:col>3</xdr:col>
          <xdr:colOff>0</xdr:colOff>
          <xdr:row>35</xdr:row>
          <xdr:rowOff>0</xdr:rowOff>
        </xdr:to>
        <xdr:sp macro="" textlink="">
          <xdr:nvSpPr>
            <xdr:cNvPr id="20485" name="Button 5" hidden="1">
              <a:extLst>
                <a:ext uri="{63B3BB69-23CF-44E3-9099-C40C66FF867C}">
                  <a14:compatExt spid="_x0000_s20485"/>
                </a:ext>
                <a:ext uri="{FF2B5EF4-FFF2-40B4-BE49-F238E27FC236}">
                  <a16:creationId xmlns:a16="http://schemas.microsoft.com/office/drawing/2014/main" id="{00000000-0008-0000-0B00-0000055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it-IT" sz="1100" b="0" i="0" u="none" strike="noStrike" baseline="0">
                  <a:solidFill>
                    <a:srgbClr val="000000"/>
                  </a:solidFill>
                  <a:latin typeface="Calibri"/>
                  <a:cs typeface="Calibri"/>
                </a:rPr>
                <a:t>GBER art. 17 - Temporary Framework</a:t>
              </a:r>
            </a:p>
          </xdr:txBody>
        </xdr:sp>
        <xdr:clientData fPrintsWithSheet="0"/>
      </xdr:twoCellAnchor>
    </mc:Choice>
    <mc:Fallback/>
  </mc:AlternateContent>
  <xdr:twoCellAnchor>
    <xdr:from>
      <xdr:col>0</xdr:col>
      <xdr:colOff>330201</xdr:colOff>
      <xdr:row>3</xdr:row>
      <xdr:rowOff>6352</xdr:rowOff>
    </xdr:from>
    <xdr:to>
      <xdr:col>0</xdr:col>
      <xdr:colOff>3359151</xdr:colOff>
      <xdr:row>5</xdr:row>
      <xdr:rowOff>400050</xdr:rowOff>
    </xdr:to>
    <xdr:sp macro="" textlink="">
      <xdr:nvSpPr>
        <xdr:cNvPr id="7" name="Freccia a destra 6">
          <a:extLst>
            <a:ext uri="{FF2B5EF4-FFF2-40B4-BE49-F238E27FC236}">
              <a16:creationId xmlns:a16="http://schemas.microsoft.com/office/drawing/2014/main" id="{00000000-0008-0000-0B00-000007000000}"/>
            </a:ext>
          </a:extLst>
        </xdr:cNvPr>
        <xdr:cNvSpPr/>
      </xdr:nvSpPr>
      <xdr:spPr>
        <a:xfrm>
          <a:off x="330201" y="1987552"/>
          <a:ext cx="3028950" cy="1098548"/>
        </a:xfrm>
        <a:prstGeom prst="rightArrow">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100" b="1" i="0" u="none" strike="noStrike" kern="0" cap="none" spc="0" normalizeH="0" baseline="0" noProof="0">
              <a:ln>
                <a:noFill/>
              </a:ln>
              <a:solidFill>
                <a:srgbClr val="002060"/>
              </a:solidFill>
              <a:effectLst/>
              <a:uLnTx/>
              <a:uFillTx/>
              <a:latin typeface="Calibri" panose="020F0502020204030204"/>
              <a:ea typeface="+mn-ea"/>
              <a:cs typeface="+mn-cs"/>
            </a:rPr>
            <a:t>1. Indica dove si trova la sede operativa</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100" b="1" i="0" u="none" strike="noStrike" kern="0" cap="none" spc="0" normalizeH="0" baseline="0" noProof="0">
              <a:ln>
                <a:noFill/>
              </a:ln>
              <a:solidFill>
                <a:srgbClr val="002060"/>
              </a:solidFill>
              <a:effectLst/>
              <a:uLnTx/>
              <a:uFillTx/>
              <a:latin typeface="Calibri" panose="020F0502020204030204"/>
              <a:ea typeface="+mn-ea"/>
              <a:cs typeface="+mn-cs"/>
            </a:rPr>
            <a:t>dell'iniziativa e la dimensione dell'impresa</a:t>
          </a:r>
        </a:p>
      </xdr:txBody>
    </xdr:sp>
    <xdr:clientData/>
  </xdr:twoCellAnchor>
  <xdr:twoCellAnchor>
    <xdr:from>
      <xdr:col>0</xdr:col>
      <xdr:colOff>400050</xdr:colOff>
      <xdr:row>12</xdr:row>
      <xdr:rowOff>38100</xdr:rowOff>
    </xdr:from>
    <xdr:to>
      <xdr:col>0</xdr:col>
      <xdr:colOff>3333750</xdr:colOff>
      <xdr:row>15</xdr:row>
      <xdr:rowOff>473075</xdr:rowOff>
    </xdr:to>
    <xdr:sp macro="" textlink="">
      <xdr:nvSpPr>
        <xdr:cNvPr id="11" name="Freccia a destra 10">
          <a:extLst>
            <a:ext uri="{FF2B5EF4-FFF2-40B4-BE49-F238E27FC236}">
              <a16:creationId xmlns:a16="http://schemas.microsoft.com/office/drawing/2014/main" id="{00000000-0008-0000-0B00-00000B000000}"/>
            </a:ext>
          </a:extLst>
        </xdr:cNvPr>
        <xdr:cNvSpPr/>
      </xdr:nvSpPr>
      <xdr:spPr>
        <a:xfrm>
          <a:off x="400050" y="5248275"/>
          <a:ext cx="2933700" cy="1225550"/>
        </a:xfrm>
        <a:prstGeom prst="rightArrow">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100" b="1" i="0" u="none" strike="noStrike" kern="0" cap="none" spc="0" normalizeH="0" baseline="0" noProof="0">
              <a:ln>
                <a:noFill/>
              </a:ln>
              <a:solidFill>
                <a:srgbClr val="002060"/>
              </a:solidFill>
              <a:effectLst/>
              <a:uLnTx/>
              <a:uFillTx/>
              <a:latin typeface="Calibri" panose="020F0502020204030204"/>
              <a:ea typeface="+mn-ea"/>
              <a:cs typeface="+mn-cs"/>
            </a:rPr>
            <a:t>3.</a:t>
          </a:r>
          <a:r>
            <a:rPr kumimoji="0" lang="it-IT" sz="1100" b="0" i="0" u="none" strike="noStrike" kern="0" cap="none" spc="0" normalizeH="0" baseline="0" noProof="0">
              <a:ln>
                <a:noFill/>
              </a:ln>
              <a:solidFill>
                <a:sysClr val="window" lastClr="FFFFFF"/>
              </a:solidFill>
              <a:effectLst/>
              <a:uLnTx/>
              <a:uFillTx/>
              <a:latin typeface="Calibri" panose="020F0502020204030204"/>
              <a:ea typeface="+mn-ea"/>
              <a:cs typeface="+mn-cs"/>
            </a:rPr>
            <a:t>. </a:t>
          </a:r>
          <a:r>
            <a:rPr kumimoji="0" lang="it-IT" sz="1100" b="1" i="0" u="none" strike="noStrike" kern="0" cap="none" spc="0" normalizeH="0" baseline="0" noProof="0">
              <a:ln>
                <a:noFill/>
              </a:ln>
              <a:solidFill>
                <a:srgbClr val="002060"/>
              </a:solidFill>
              <a:effectLst/>
              <a:uLnTx/>
              <a:uFillTx/>
              <a:latin typeface="Calibri" panose="020F0502020204030204"/>
              <a:ea typeface="+mn-ea"/>
              <a:cs typeface="+mn-cs"/>
            </a:rPr>
            <a:t>Indica eventuali campi oggetto di premialità </a:t>
          </a:r>
        </a:p>
      </xdr:txBody>
    </xdr:sp>
    <xdr:clientData/>
  </xdr:twoCellAnchor>
  <xdr:twoCellAnchor>
    <xdr:from>
      <xdr:col>0</xdr:col>
      <xdr:colOff>346074</xdr:colOff>
      <xdr:row>33</xdr:row>
      <xdr:rowOff>19050</xdr:rowOff>
    </xdr:from>
    <xdr:to>
      <xdr:col>0</xdr:col>
      <xdr:colOff>3372779</xdr:colOff>
      <xdr:row>35</xdr:row>
      <xdr:rowOff>0</xdr:rowOff>
    </xdr:to>
    <xdr:sp macro="" textlink="">
      <xdr:nvSpPr>
        <xdr:cNvPr id="13" name="Freccia a destra 12">
          <a:extLst>
            <a:ext uri="{FF2B5EF4-FFF2-40B4-BE49-F238E27FC236}">
              <a16:creationId xmlns:a16="http://schemas.microsoft.com/office/drawing/2014/main" id="{00000000-0008-0000-0B00-00000D000000}"/>
            </a:ext>
          </a:extLst>
        </xdr:cNvPr>
        <xdr:cNvSpPr/>
      </xdr:nvSpPr>
      <xdr:spPr>
        <a:xfrm>
          <a:off x="346074" y="10210800"/>
          <a:ext cx="3026705" cy="1266825"/>
        </a:xfrm>
        <a:prstGeom prst="rightArrow">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100" b="1" i="0" u="none" strike="noStrike" kern="0" cap="none" spc="0" normalizeH="0" baseline="0" noProof="0">
              <a:ln>
                <a:noFill/>
              </a:ln>
              <a:solidFill>
                <a:srgbClr val="002060"/>
              </a:solidFill>
              <a:effectLst/>
              <a:uLnTx/>
              <a:uFillTx/>
              <a:latin typeface="Calibri" panose="020F0502020204030204"/>
              <a:ea typeface="+mn-ea"/>
              <a:cs typeface="+mn-cs"/>
            </a:rPr>
            <a:t>5.</a:t>
          </a:r>
          <a:r>
            <a:rPr kumimoji="0" lang="it-IT" sz="1100" b="0" i="0" u="none" strike="noStrike" kern="0" cap="none" spc="0" normalizeH="0" baseline="0" noProof="0">
              <a:ln>
                <a:noFill/>
              </a:ln>
              <a:solidFill>
                <a:sysClr val="window" lastClr="FFFFFF"/>
              </a:solidFill>
              <a:effectLst/>
              <a:uLnTx/>
              <a:uFillTx/>
              <a:latin typeface="Calibri" panose="020F0502020204030204"/>
              <a:ea typeface="+mn-ea"/>
              <a:cs typeface="+mn-cs"/>
            </a:rPr>
            <a:t>. </a:t>
          </a:r>
          <a:r>
            <a:rPr kumimoji="0" lang="it-IT" sz="1100" b="1" i="0" u="none" strike="noStrike" kern="0" cap="none" spc="0" normalizeH="0" baseline="0" noProof="0">
              <a:ln>
                <a:noFill/>
              </a:ln>
              <a:solidFill>
                <a:srgbClr val="002060"/>
              </a:solidFill>
              <a:effectLst/>
              <a:uLnTx/>
              <a:uFillTx/>
              <a:latin typeface="Calibri" panose="020F0502020204030204"/>
              <a:ea typeface="+mn-ea"/>
              <a:cs typeface="+mn-cs"/>
            </a:rPr>
            <a:t>Scegli il regime di aiuto al quale vuoi aderire</a:t>
          </a:r>
        </a:p>
      </xdr:txBody>
    </xdr:sp>
    <xdr:clientData/>
  </xdr:twoCellAnchor>
  <xdr:twoCellAnchor>
    <xdr:from>
      <xdr:col>0</xdr:col>
      <xdr:colOff>374650</xdr:colOff>
      <xdr:row>21</xdr:row>
      <xdr:rowOff>298450</xdr:rowOff>
    </xdr:from>
    <xdr:to>
      <xdr:col>0</xdr:col>
      <xdr:colOff>2870200</xdr:colOff>
      <xdr:row>28</xdr:row>
      <xdr:rowOff>38100</xdr:rowOff>
    </xdr:to>
    <xdr:sp macro="" textlink="">
      <xdr:nvSpPr>
        <xdr:cNvPr id="20486" name="Button 6" hidden="1">
          <a:extLst>
            <a:ext uri="{63B3BB69-23CF-44E3-9099-C40C66FF867C}">
              <a14:compatExt xmlns:a14="http://schemas.microsoft.com/office/drawing/2010/main" spid="_x0000_s20486"/>
            </a:ext>
            <a:ext uri="{FF2B5EF4-FFF2-40B4-BE49-F238E27FC236}">
              <a16:creationId xmlns:a16="http://schemas.microsoft.com/office/drawing/2014/main" id="{00000000-0008-0000-0B00-000006500000}"/>
            </a:ext>
          </a:extLst>
        </xdr:cNvPr>
        <xdr:cNvSpPr/>
      </xdr:nvSpPr>
      <xdr:spPr bwMode="auto">
        <a:xfrm>
          <a:off x="0" y="0"/>
          <a:ext cx="0" cy="0"/>
        </a:xfrm>
        <a:prstGeom prst="rect">
          <a:avLst/>
        </a:prstGeom>
        <a:noFill/>
        <a:ln w="9525">
          <a:miter lim="800000"/>
          <a:headEnd/>
          <a:tailEnd/>
        </a:ln>
      </xdr:spPr>
      <xdr:txBody>
        <a:bodyPr vertOverflow="clip" wrap="square" lIns="45720" tIns="45720" rIns="45720" bIns="45720" anchor="ctr" upright="1"/>
        <a:lstStyle/>
        <a:p>
          <a:pPr algn="ctr" rtl="0">
            <a:defRPr sz="1000"/>
          </a:pPr>
          <a:r>
            <a:rPr lang="it-IT" sz="1400" b="0" i="0" u="none" strike="noStrike" baseline="0">
              <a:solidFill>
                <a:srgbClr val="000000"/>
              </a:solidFill>
              <a:latin typeface="Calibri"/>
              <a:cs typeface="Calibri"/>
            </a:rPr>
            <a:t>4. Clicca qui per dettagliare il programma di investimento e alimentare la tabella</a:t>
          </a:r>
        </a:p>
      </xdr:txBody>
    </xdr:sp>
    <xdr:clientData fPrintsWithSheet="0"/>
  </xdr:twoCellAnchor>
  <xdr:twoCellAnchor>
    <xdr:from>
      <xdr:col>0</xdr:col>
      <xdr:colOff>304800</xdr:colOff>
      <xdr:row>6</xdr:row>
      <xdr:rowOff>9525</xdr:rowOff>
    </xdr:from>
    <xdr:to>
      <xdr:col>0</xdr:col>
      <xdr:colOff>3352800</xdr:colOff>
      <xdr:row>8</xdr:row>
      <xdr:rowOff>6351</xdr:rowOff>
    </xdr:to>
    <xdr:sp macro="" textlink="">
      <xdr:nvSpPr>
        <xdr:cNvPr id="16" name="Freccia a destra 15">
          <a:extLst>
            <a:ext uri="{FF2B5EF4-FFF2-40B4-BE49-F238E27FC236}">
              <a16:creationId xmlns:a16="http://schemas.microsoft.com/office/drawing/2014/main" id="{00000000-0008-0000-0B00-000010000000}"/>
            </a:ext>
          </a:extLst>
        </xdr:cNvPr>
        <xdr:cNvSpPr/>
      </xdr:nvSpPr>
      <xdr:spPr>
        <a:xfrm>
          <a:off x="304800" y="3409950"/>
          <a:ext cx="3048000" cy="796926"/>
        </a:xfrm>
        <a:prstGeom prst="rightArrow">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100" b="1" i="0" u="none" strike="noStrike" kern="0" cap="none" spc="0" normalizeH="0" baseline="0" noProof="0">
              <a:ln>
                <a:noFill/>
              </a:ln>
              <a:solidFill>
                <a:srgbClr val="002060"/>
              </a:solidFill>
              <a:effectLst/>
              <a:uLnTx/>
              <a:uFillTx/>
              <a:latin typeface="Calibri" panose="020F0502020204030204"/>
              <a:ea typeface="+mn-ea"/>
              <a:cs typeface="+mn-cs"/>
            </a:rPr>
            <a:t>2.</a:t>
          </a:r>
          <a:r>
            <a:rPr kumimoji="0" lang="it-IT" sz="1100" b="0" i="0" u="none" strike="noStrike" kern="0" cap="none" spc="0" normalizeH="0" baseline="0" noProof="0">
              <a:ln>
                <a:noFill/>
              </a:ln>
              <a:solidFill>
                <a:sysClr val="window" lastClr="FFFFFF"/>
              </a:solidFill>
              <a:effectLst/>
              <a:uLnTx/>
              <a:uFillTx/>
              <a:latin typeface="Calibri" panose="020F0502020204030204"/>
              <a:ea typeface="+mn-ea"/>
              <a:cs typeface="+mn-cs"/>
            </a:rPr>
            <a:t>. </a:t>
          </a:r>
          <a:r>
            <a:rPr kumimoji="0" lang="it-IT" sz="1100" b="1" i="0" u="none" strike="noStrike" kern="0" cap="none" spc="0" normalizeH="0" baseline="0" noProof="0">
              <a:ln>
                <a:noFill/>
              </a:ln>
              <a:solidFill>
                <a:srgbClr val="002060"/>
              </a:solidFill>
              <a:effectLst/>
              <a:uLnTx/>
              <a:uFillTx/>
              <a:latin typeface="Calibri" panose="020F0502020204030204"/>
              <a:ea typeface="+mn-ea"/>
              <a:cs typeface="+mn-cs"/>
            </a:rPr>
            <a:t>Indica la dimensione* della tua azienda</a:t>
          </a:r>
        </a:p>
      </xdr:txBody>
    </xdr:sp>
    <xdr:clientData/>
  </xdr:twoCellAnchor>
  <xdr:twoCellAnchor>
    <xdr:from>
      <xdr:col>0</xdr:col>
      <xdr:colOff>342900</xdr:colOff>
      <xdr:row>40</xdr:row>
      <xdr:rowOff>6350</xdr:rowOff>
    </xdr:from>
    <xdr:to>
      <xdr:col>0</xdr:col>
      <xdr:colOff>3369605</xdr:colOff>
      <xdr:row>43</xdr:row>
      <xdr:rowOff>0</xdr:rowOff>
    </xdr:to>
    <xdr:sp macro="" textlink="">
      <xdr:nvSpPr>
        <xdr:cNvPr id="17" name="Freccia a destra 16">
          <a:extLst>
            <a:ext uri="{FF2B5EF4-FFF2-40B4-BE49-F238E27FC236}">
              <a16:creationId xmlns:a16="http://schemas.microsoft.com/office/drawing/2014/main" id="{00000000-0008-0000-0B00-000011000000}"/>
            </a:ext>
          </a:extLst>
        </xdr:cNvPr>
        <xdr:cNvSpPr/>
      </xdr:nvSpPr>
      <xdr:spPr>
        <a:xfrm>
          <a:off x="342900" y="12579350"/>
          <a:ext cx="3026705" cy="1050925"/>
        </a:xfrm>
        <a:prstGeom prst="rightArrow">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100" b="1" i="0" u="none" strike="noStrike" kern="0" cap="none" spc="0" normalizeH="0" baseline="0" noProof="0">
              <a:ln>
                <a:noFill/>
              </a:ln>
              <a:solidFill>
                <a:srgbClr val="002060"/>
              </a:solidFill>
              <a:effectLst/>
              <a:uLnTx/>
              <a:uFillTx/>
              <a:latin typeface="Calibri" panose="020F0502020204030204"/>
              <a:ea typeface="+mn-ea"/>
              <a:cs typeface="+mn-cs"/>
            </a:rPr>
            <a:t>5. Gli aiuti che hai richiesto</a:t>
          </a:r>
          <a:r>
            <a:rPr kumimoji="0" lang="it-IT" sz="1100" b="0" i="0" u="none" strike="noStrike" kern="0" cap="none" spc="0" normalizeH="0" baseline="0" noProof="0">
              <a:ln>
                <a:noFill/>
              </a:ln>
              <a:solidFill>
                <a:sysClr val="window" lastClr="FFFFFF"/>
              </a:solidFill>
              <a:effectLst/>
              <a:uLnTx/>
              <a:uFillTx/>
              <a:latin typeface="Calibri" panose="020F0502020204030204"/>
              <a:ea typeface="+mn-ea"/>
              <a:cs typeface="+mn-cs"/>
            </a:rPr>
            <a:t>. </a:t>
          </a:r>
          <a:endParaRPr kumimoji="0" lang="it-IT" sz="1100" b="1" i="0" u="none" strike="noStrike" kern="0" cap="none" spc="0" normalizeH="0" baseline="0" noProof="0">
            <a:ln>
              <a:noFill/>
            </a:ln>
            <a:solidFill>
              <a:srgbClr val="002060"/>
            </a:solidFill>
            <a:effectLst/>
            <a:uLnTx/>
            <a:uFillTx/>
            <a:latin typeface="Calibri" panose="020F0502020204030204"/>
            <a:ea typeface="+mn-ea"/>
            <a:cs typeface="+mn-cs"/>
          </a:endParaRPr>
        </a:p>
      </xdr:txBody>
    </xdr:sp>
    <xdr:clientData/>
  </xdr:twoCellAnchor>
  <mc:AlternateContent xmlns:mc="http://schemas.openxmlformats.org/markup-compatibility/2006">
    <mc:Choice xmlns:a14="http://schemas.microsoft.com/office/drawing/2010/main" Requires="a14">
      <xdr:twoCellAnchor>
        <xdr:from>
          <xdr:col>0</xdr:col>
          <xdr:colOff>393700</xdr:colOff>
          <xdr:row>21</xdr:row>
          <xdr:rowOff>107950</xdr:rowOff>
        </xdr:from>
        <xdr:to>
          <xdr:col>0</xdr:col>
          <xdr:colOff>2889250</xdr:colOff>
          <xdr:row>27</xdr:row>
          <xdr:rowOff>50800</xdr:rowOff>
        </xdr:to>
        <xdr:sp macro="" textlink="">
          <xdr:nvSpPr>
            <xdr:cNvPr id="20487" name="Button 7" hidden="1">
              <a:extLst>
                <a:ext uri="{63B3BB69-23CF-44E3-9099-C40C66FF867C}">
                  <a14:compatExt spid="_x0000_s20487"/>
                </a:ext>
                <a:ext uri="{FF2B5EF4-FFF2-40B4-BE49-F238E27FC236}">
                  <a16:creationId xmlns:a16="http://schemas.microsoft.com/office/drawing/2014/main" id="{00000000-0008-0000-0B00-000007500000}"/>
                </a:ext>
              </a:extLst>
            </xdr:cNvPr>
            <xdr:cNvSpPr/>
          </xdr:nvSpPr>
          <xdr:spPr bwMode="auto">
            <a:xfrm>
              <a:off x="0" y="0"/>
              <a:ext cx="0" cy="0"/>
            </a:xfrm>
            <a:prstGeom prst="rect">
              <a:avLst/>
            </a:prstGeom>
            <a:noFill/>
            <a:ln w="9525">
              <a:miter lim="800000"/>
              <a:headEnd/>
              <a:tailEnd/>
            </a:ln>
          </xdr:spPr>
          <xdr:txBody>
            <a:bodyPr vertOverflow="clip" wrap="square" lIns="45720" tIns="45720" rIns="45720" bIns="45720" anchor="ctr" upright="1"/>
            <a:lstStyle/>
            <a:p>
              <a:pPr algn="ctr" rtl="0">
                <a:defRPr sz="1000"/>
              </a:pPr>
              <a:r>
                <a:rPr lang="it-IT" sz="1400" b="0" i="0" u="none" strike="noStrike" baseline="0">
                  <a:solidFill>
                    <a:srgbClr val="000000"/>
                  </a:solidFill>
                  <a:latin typeface="Calibri"/>
                  <a:cs typeface="Calibri"/>
                </a:rPr>
                <a:t>4. Clicca qui per dettagliare il programma di investimento e alimentare la tabella</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12700</xdr:colOff>
          <xdr:row>0</xdr:row>
          <xdr:rowOff>0</xdr:rowOff>
        </xdr:from>
        <xdr:to>
          <xdr:col>12</xdr:col>
          <xdr:colOff>1479550</xdr:colOff>
          <xdr:row>0</xdr:row>
          <xdr:rowOff>381000</xdr:rowOff>
        </xdr:to>
        <xdr:sp macro="" textlink="">
          <xdr:nvSpPr>
            <xdr:cNvPr id="173057" name="Button 1" hidden="1">
              <a:extLst>
                <a:ext uri="{63B3BB69-23CF-44E3-9099-C40C66FF867C}">
                  <a14:compatExt spid="_x0000_s173057"/>
                </a:ext>
                <a:ext uri="{FF2B5EF4-FFF2-40B4-BE49-F238E27FC236}">
                  <a16:creationId xmlns:a16="http://schemas.microsoft.com/office/drawing/2014/main" id="{00000000-0008-0000-0C00-000001A40200}"/>
                </a:ext>
              </a:extLst>
            </xdr:cNvPr>
            <xdr:cNvSpPr/>
          </xdr:nvSpPr>
          <xdr:spPr bwMode="auto">
            <a:xfrm>
              <a:off x="0" y="0"/>
              <a:ext cx="0" cy="0"/>
            </a:xfrm>
            <a:prstGeom prst="rect">
              <a:avLst/>
            </a:prstGeom>
            <a:noFill/>
            <a:ln w="9525">
              <a:miter lim="800000"/>
              <a:headEnd/>
              <a:tailEnd/>
            </a:ln>
          </xdr:spPr>
          <xdr:txBody>
            <a:bodyPr vertOverflow="clip" wrap="square" lIns="45720" tIns="45720" rIns="45720" bIns="45720" anchor="ctr" upright="1"/>
            <a:lstStyle/>
            <a:p>
              <a:pPr algn="ctr" rtl="0">
                <a:defRPr sz="1000"/>
              </a:pPr>
              <a:r>
                <a:rPr lang="it-IT" sz="1400" b="0" i="0" u="none" strike="noStrike" baseline="0">
                  <a:solidFill>
                    <a:srgbClr val="000000"/>
                  </a:solidFill>
                  <a:latin typeface="Calibri"/>
                  <a:cs typeface="Calibri"/>
                </a:rPr>
                <a:t>Aggiungi Riga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19050</xdr:colOff>
          <xdr:row>12</xdr:row>
          <xdr:rowOff>184150</xdr:rowOff>
        </xdr:from>
        <xdr:to>
          <xdr:col>12</xdr:col>
          <xdr:colOff>1727200</xdr:colOff>
          <xdr:row>15</xdr:row>
          <xdr:rowOff>184150</xdr:rowOff>
        </xdr:to>
        <xdr:sp macro="" textlink="">
          <xdr:nvSpPr>
            <xdr:cNvPr id="173059" name="Button 3" hidden="1">
              <a:extLst>
                <a:ext uri="{63B3BB69-23CF-44E3-9099-C40C66FF867C}">
                  <a14:compatExt spid="_x0000_s173059"/>
                </a:ext>
                <a:ext uri="{FF2B5EF4-FFF2-40B4-BE49-F238E27FC236}">
                  <a16:creationId xmlns:a16="http://schemas.microsoft.com/office/drawing/2014/main" id="{00000000-0008-0000-0C00-000003A40200}"/>
                </a:ext>
              </a:extLst>
            </xdr:cNvPr>
            <xdr:cNvSpPr/>
          </xdr:nvSpPr>
          <xdr:spPr bwMode="auto">
            <a:xfrm>
              <a:off x="0" y="0"/>
              <a:ext cx="0" cy="0"/>
            </a:xfrm>
            <a:prstGeom prst="rect">
              <a:avLst/>
            </a:prstGeom>
            <a:noFill/>
            <a:ln w="9525">
              <a:miter lim="800000"/>
              <a:headEnd/>
              <a:tailEnd/>
            </a:ln>
          </xdr:spPr>
          <xdr:txBody>
            <a:bodyPr vertOverflow="clip" wrap="square" lIns="45720" tIns="45720" rIns="45720" bIns="45720" anchor="ctr" upright="1"/>
            <a:lstStyle/>
            <a:p>
              <a:pPr algn="ctr" rtl="0">
                <a:defRPr sz="1000"/>
              </a:pPr>
              <a:r>
                <a:rPr lang="it-IT" sz="1400" b="0" i="0" u="none" strike="noStrike" baseline="0">
                  <a:solidFill>
                    <a:srgbClr val="000000"/>
                  </a:solidFill>
                  <a:latin typeface="Calibri"/>
                  <a:cs typeface="Calibri"/>
                </a:rPr>
                <a:t>ON Anagrafica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12700</xdr:colOff>
          <xdr:row>0</xdr:row>
          <xdr:rowOff>0</xdr:rowOff>
        </xdr:from>
        <xdr:to>
          <xdr:col>3</xdr:col>
          <xdr:colOff>0</xdr:colOff>
          <xdr:row>4</xdr:row>
          <xdr:rowOff>0</xdr:rowOff>
        </xdr:to>
        <xdr:sp macro="" textlink="">
          <xdr:nvSpPr>
            <xdr:cNvPr id="149506" name="Button 2" hidden="1">
              <a:extLst>
                <a:ext uri="{63B3BB69-23CF-44E3-9099-C40C66FF867C}">
                  <a14:compatExt spid="_x0000_s149506"/>
                </a:ext>
                <a:ext uri="{FF2B5EF4-FFF2-40B4-BE49-F238E27FC236}">
                  <a16:creationId xmlns:a16="http://schemas.microsoft.com/office/drawing/2014/main" id="{00000000-0008-0000-0D00-000002480200}"/>
                </a:ext>
              </a:extLst>
            </xdr:cNvPr>
            <xdr:cNvSpPr/>
          </xdr:nvSpPr>
          <xdr:spPr bwMode="auto">
            <a:xfrm>
              <a:off x="0" y="0"/>
              <a:ext cx="0" cy="0"/>
            </a:xfrm>
            <a:prstGeom prst="rect">
              <a:avLst/>
            </a:prstGeom>
            <a:noFill/>
            <a:ln w="9525">
              <a:miter lim="800000"/>
              <a:headEnd/>
              <a:tailEnd/>
            </a:ln>
          </xdr:spPr>
          <xdr:txBody>
            <a:bodyPr vertOverflow="clip" wrap="square" lIns="54864" tIns="54864" rIns="54864" bIns="54864" anchor="ctr" upright="1"/>
            <a:lstStyle/>
            <a:p>
              <a:pPr algn="ctr" rtl="0">
                <a:defRPr sz="1000"/>
              </a:pPr>
              <a:r>
                <a:rPr lang="it-IT" sz="1800" b="0" i="0" u="none" strike="noStrike" baseline="0">
                  <a:solidFill>
                    <a:srgbClr val="000000"/>
                  </a:solidFill>
                  <a:latin typeface="Calibri"/>
                  <a:cs typeface="Calibri"/>
                </a:rPr>
                <a:t>Clicca qui per tornare su "ON Anagrafica"</a:t>
              </a:r>
            </a:p>
          </xdr:txBody>
        </xdr:sp>
        <xdr:clientData fPrintsWithSheet="0"/>
      </xdr:twoCellAnchor>
    </mc:Choice>
    <mc:Fallback/>
  </mc:AlternateContent>
  <xdr:twoCellAnchor>
    <xdr:from>
      <xdr:col>3</xdr:col>
      <xdr:colOff>6350</xdr:colOff>
      <xdr:row>0</xdr:row>
      <xdr:rowOff>0</xdr:rowOff>
    </xdr:from>
    <xdr:to>
      <xdr:col>6</xdr:col>
      <xdr:colOff>0</xdr:colOff>
      <xdr:row>5</xdr:row>
      <xdr:rowOff>19050</xdr:rowOff>
    </xdr:to>
    <xdr:sp macro="" textlink="">
      <xdr:nvSpPr>
        <xdr:cNvPr id="3" name="Rettangolo 2">
          <a:extLst>
            <a:ext uri="{FF2B5EF4-FFF2-40B4-BE49-F238E27FC236}">
              <a16:creationId xmlns:a16="http://schemas.microsoft.com/office/drawing/2014/main" id="{00000000-0008-0000-0D00-000003000000}"/>
            </a:ext>
          </a:extLst>
        </xdr:cNvPr>
        <xdr:cNvSpPr/>
      </xdr:nvSpPr>
      <xdr:spPr>
        <a:xfrm>
          <a:off x="2705100" y="0"/>
          <a:ext cx="6819900" cy="1263650"/>
        </a:xfrm>
        <a:prstGeom prst="rect">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2000" b="1" i="0" u="none" strike="noStrike" kern="0" cap="none" spc="0" normalizeH="0" baseline="0" noProof="0">
              <a:ln>
                <a:noFill/>
              </a:ln>
              <a:solidFill>
                <a:sysClr val="windowText" lastClr="000000"/>
              </a:solidFill>
              <a:effectLst/>
              <a:uLnTx/>
              <a:uFillTx/>
              <a:latin typeface="+mn-lt"/>
              <a:ea typeface="+mn-ea"/>
              <a:cs typeface="+mn-cs"/>
            </a:rPr>
            <a:t>DISPOSIZIONI QUADRO TEMPORANEO UCRAINA - SOVVENZIONE DIRETTA </a:t>
          </a:r>
          <a:endParaRPr kumimoji="0" lang="it-IT" sz="11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it-IT" sz="1100" b="1" i="1" u="none" strike="noStrike" kern="0" cap="none" spc="0" normalizeH="0" baseline="0" noProof="0">
              <a:ln>
                <a:noFill/>
              </a:ln>
              <a:solidFill>
                <a:sysClr val="windowText" lastClr="000000"/>
              </a:solidFill>
              <a:effectLst/>
              <a:uLnTx/>
              <a:uFillTx/>
              <a:latin typeface="Calibri" panose="020F0502020204030204"/>
              <a:ea typeface="+mn-ea"/>
              <a:cs typeface="+mn-cs"/>
            </a:rPr>
            <a:t>CONFIGURA IL CONTRIBUTO FINANZIARIO CHE VUOI RICHIEDERE, </a:t>
          </a:r>
          <a:r>
            <a:rPr kumimoji="0" lang="it-IT" sz="1100" b="1" i="1" u="sng" strike="noStrike" kern="0" cap="none" spc="0" normalizeH="0" baseline="0" noProof="0">
              <a:ln>
                <a:noFill/>
              </a:ln>
              <a:solidFill>
                <a:sysClr val="windowText" lastClr="000000"/>
              </a:solidFill>
              <a:effectLst/>
              <a:uLnTx/>
              <a:uFillTx/>
              <a:latin typeface="Calibri" panose="020F0502020204030204"/>
              <a:ea typeface="+mn-ea"/>
              <a:cs typeface="+mn-cs"/>
            </a:rPr>
            <a:t>COMPILA LE CELLE AZZURRE </a:t>
          </a:r>
          <a:endParaRPr kumimoji="0" lang="it-IT" sz="1100" b="1" i="1"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0</xdr:col>
      <xdr:colOff>133350</xdr:colOff>
      <xdr:row>4</xdr:row>
      <xdr:rowOff>0</xdr:rowOff>
    </xdr:from>
    <xdr:to>
      <xdr:col>2</xdr:col>
      <xdr:colOff>1333500</xdr:colOff>
      <xdr:row>6</xdr:row>
      <xdr:rowOff>19050</xdr:rowOff>
    </xdr:to>
    <xdr:sp macro="" textlink="">
      <xdr:nvSpPr>
        <xdr:cNvPr id="4" name="Freccia a destra 3">
          <a:extLst>
            <a:ext uri="{FF2B5EF4-FFF2-40B4-BE49-F238E27FC236}">
              <a16:creationId xmlns:a16="http://schemas.microsoft.com/office/drawing/2014/main" id="{00000000-0008-0000-0D00-000004000000}"/>
            </a:ext>
          </a:extLst>
        </xdr:cNvPr>
        <xdr:cNvSpPr/>
      </xdr:nvSpPr>
      <xdr:spPr>
        <a:xfrm>
          <a:off x="133350" y="1247775"/>
          <a:ext cx="2552700" cy="1390650"/>
        </a:xfrm>
        <a:prstGeom prst="rightArrow">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100" b="1" i="0" u="none" strike="noStrike" kern="0" cap="none" spc="0" normalizeH="0" baseline="0" noProof="0">
              <a:ln>
                <a:noFill/>
              </a:ln>
              <a:solidFill>
                <a:srgbClr val="002060"/>
              </a:solidFill>
              <a:effectLst/>
              <a:uLnTx/>
              <a:uFillTx/>
              <a:latin typeface="Calibri" panose="020F0502020204030204"/>
              <a:ea typeface="+mn-ea"/>
              <a:cs typeface="+mn-cs"/>
            </a:rPr>
            <a:t>1. Chi può richiedere l'applicazione delle disposizioni del </a:t>
          </a:r>
          <a:r>
            <a:rPr kumimoji="0" lang="it-IT" sz="1100" b="1" i="1" u="none" strike="noStrike" kern="0" cap="none" spc="0" normalizeH="0" baseline="0" noProof="0">
              <a:ln>
                <a:noFill/>
              </a:ln>
              <a:solidFill>
                <a:srgbClr val="002060"/>
              </a:solidFill>
              <a:effectLst/>
              <a:uLnTx/>
              <a:uFillTx/>
              <a:latin typeface="Calibri" panose="020F0502020204030204"/>
              <a:ea typeface="+mn-ea"/>
              <a:cs typeface="+mn-cs"/>
            </a:rPr>
            <a:t>Quadro temporaneo Ucraina</a:t>
          </a:r>
          <a:r>
            <a:rPr kumimoji="0" lang="it-IT" sz="1100" b="1" i="0" u="none" strike="noStrike" kern="0" cap="none" spc="0" normalizeH="0" baseline="0" noProof="0">
              <a:ln>
                <a:noFill/>
              </a:ln>
              <a:solidFill>
                <a:srgbClr val="002060"/>
              </a:solidFill>
              <a:effectLst/>
              <a:uLnTx/>
              <a:uFillTx/>
              <a:latin typeface="Calibri" panose="020F0502020204030204"/>
              <a:ea typeface="+mn-ea"/>
              <a:cs typeface="+mn-cs"/>
            </a:rPr>
            <a:t>?</a:t>
          </a:r>
        </a:p>
      </xdr:txBody>
    </xdr:sp>
    <xdr:clientData/>
  </xdr:twoCellAnchor>
  <xdr:twoCellAnchor>
    <xdr:from>
      <xdr:col>0</xdr:col>
      <xdr:colOff>38099</xdr:colOff>
      <xdr:row>7</xdr:row>
      <xdr:rowOff>19050</xdr:rowOff>
    </xdr:from>
    <xdr:to>
      <xdr:col>2</xdr:col>
      <xdr:colOff>914400</xdr:colOff>
      <xdr:row>10</xdr:row>
      <xdr:rowOff>47625</xdr:rowOff>
    </xdr:to>
    <xdr:sp macro="" textlink="">
      <xdr:nvSpPr>
        <xdr:cNvPr id="5" name="Freccia a destra 4">
          <a:extLst>
            <a:ext uri="{FF2B5EF4-FFF2-40B4-BE49-F238E27FC236}">
              <a16:creationId xmlns:a16="http://schemas.microsoft.com/office/drawing/2014/main" id="{00000000-0008-0000-0D00-000005000000}"/>
            </a:ext>
          </a:extLst>
        </xdr:cNvPr>
        <xdr:cNvSpPr/>
      </xdr:nvSpPr>
      <xdr:spPr>
        <a:xfrm>
          <a:off x="38099" y="2628900"/>
          <a:ext cx="2162176" cy="1000125"/>
        </a:xfrm>
        <a:prstGeom prst="rightArrow">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100" b="1" i="0" u="none" strike="noStrike" kern="0" cap="none" spc="0" normalizeH="0" baseline="0" noProof="0">
              <a:ln>
                <a:noFill/>
              </a:ln>
              <a:solidFill>
                <a:srgbClr val="002060"/>
              </a:solidFill>
              <a:effectLst/>
              <a:uLnTx/>
              <a:uFillTx/>
              <a:latin typeface="Calibri" panose="020F0502020204030204"/>
              <a:ea typeface="+mn-ea"/>
              <a:cs typeface="+mn-cs"/>
            </a:rPr>
            <a:t>2. Indica se vuoi richiedere solo fondo perduto</a:t>
          </a:r>
        </a:p>
      </xdr:txBody>
    </xdr:sp>
    <xdr:clientData/>
  </xdr:twoCellAnchor>
  <xdr:twoCellAnchor>
    <xdr:from>
      <xdr:col>0</xdr:col>
      <xdr:colOff>133350</xdr:colOff>
      <xdr:row>63</xdr:row>
      <xdr:rowOff>342900</xdr:rowOff>
    </xdr:from>
    <xdr:to>
      <xdr:col>2</xdr:col>
      <xdr:colOff>1314450</xdr:colOff>
      <xdr:row>66</xdr:row>
      <xdr:rowOff>447675</xdr:rowOff>
    </xdr:to>
    <xdr:sp macro="" textlink="">
      <xdr:nvSpPr>
        <xdr:cNvPr id="8" name="Freccia a destra 7">
          <a:extLst>
            <a:ext uri="{FF2B5EF4-FFF2-40B4-BE49-F238E27FC236}">
              <a16:creationId xmlns:a16="http://schemas.microsoft.com/office/drawing/2014/main" id="{00000000-0008-0000-0D00-000008000000}"/>
            </a:ext>
          </a:extLst>
        </xdr:cNvPr>
        <xdr:cNvSpPr/>
      </xdr:nvSpPr>
      <xdr:spPr>
        <a:xfrm>
          <a:off x="133350" y="3448050"/>
          <a:ext cx="2533650" cy="1333500"/>
        </a:xfrm>
        <a:prstGeom prst="rightArrow">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100" b="1" i="0" u="none" strike="noStrike" kern="0" cap="none" spc="0" normalizeH="0" baseline="0" noProof="0">
              <a:ln>
                <a:noFill/>
              </a:ln>
              <a:solidFill>
                <a:srgbClr val="002060"/>
              </a:solidFill>
              <a:effectLst/>
              <a:uLnTx/>
              <a:uFillTx/>
              <a:latin typeface="Calibri" panose="020F0502020204030204"/>
              <a:ea typeface="+mn-ea"/>
              <a:cs typeface="+mn-cs"/>
            </a:rPr>
            <a:t>2. Indica il contributo a fondo perduto che vuoi richiedere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11905</xdr:colOff>
      <xdr:row>0</xdr:row>
      <xdr:rowOff>0</xdr:rowOff>
    </xdr:from>
    <xdr:to>
      <xdr:col>3</xdr:col>
      <xdr:colOff>3514724</xdr:colOff>
      <xdr:row>0</xdr:row>
      <xdr:rowOff>1704975</xdr:rowOff>
    </xdr:to>
    <xdr:sp macro="" textlink="">
      <xdr:nvSpPr>
        <xdr:cNvPr id="2" name="Rettangolo 1">
          <a:extLst>
            <a:ext uri="{FF2B5EF4-FFF2-40B4-BE49-F238E27FC236}">
              <a16:creationId xmlns:a16="http://schemas.microsoft.com/office/drawing/2014/main" id="{00000000-0008-0000-0E00-000002000000}"/>
            </a:ext>
          </a:extLst>
        </xdr:cNvPr>
        <xdr:cNvSpPr/>
      </xdr:nvSpPr>
      <xdr:spPr>
        <a:xfrm>
          <a:off x="3524249" y="0"/>
          <a:ext cx="9884569" cy="1704975"/>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it-IT" sz="3200" b="1" i="0" baseline="0">
              <a:solidFill>
                <a:sysClr val="windowText" lastClr="000000"/>
              </a:solidFill>
              <a:effectLst/>
              <a:latin typeface="+mn-lt"/>
              <a:ea typeface="+mn-ea"/>
              <a:cs typeface="+mn-cs"/>
            </a:rPr>
            <a:t>REGIME DI AIUTO GBER - TEMPORARY FRAMEWORK</a:t>
          </a:r>
          <a:endParaRPr lang="it-IT" sz="3200">
            <a:solidFill>
              <a:sysClr val="windowText" lastClr="000000"/>
            </a:solidFill>
            <a:effectLst/>
          </a:endParaRPr>
        </a:p>
        <a:p>
          <a:pPr algn="ctr" eaLnBrk="1" fontAlgn="auto" latinLnBrk="0" hangingPunct="1"/>
          <a:endParaRPr lang="it-IT" sz="1100" b="1" i="1" baseline="0">
            <a:solidFill>
              <a:sysClr val="windowText" lastClr="000000"/>
            </a:solidFill>
            <a:effectLst/>
            <a:latin typeface="+mn-lt"/>
            <a:ea typeface="+mn-ea"/>
            <a:cs typeface="+mn-cs"/>
          </a:endParaRPr>
        </a:p>
        <a:p>
          <a:pPr algn="ctr" eaLnBrk="1" fontAlgn="auto" latinLnBrk="0" hangingPunct="1"/>
          <a:endParaRPr lang="it-IT" sz="1400" b="1" i="1" baseline="0">
            <a:solidFill>
              <a:sysClr val="windowText" lastClr="000000"/>
            </a:solidFill>
            <a:effectLst/>
            <a:latin typeface="+mn-lt"/>
            <a:ea typeface="+mn-ea"/>
            <a:cs typeface="+mn-cs"/>
          </a:endParaRPr>
        </a:p>
        <a:p>
          <a:pPr algn="ctr" eaLnBrk="1" fontAlgn="auto" latinLnBrk="0" hangingPunct="1"/>
          <a:r>
            <a:rPr lang="it-IT" sz="1400" b="1" i="1" baseline="0">
              <a:solidFill>
                <a:sysClr val="windowText" lastClr="000000"/>
              </a:solidFill>
              <a:effectLst/>
              <a:latin typeface="+mn-lt"/>
              <a:ea typeface="+mn-ea"/>
              <a:cs typeface="+mn-cs"/>
            </a:rPr>
            <a:t>CONFIGURA IL CONTRIBUTO FINANZIARIO CHE VUOI RICHIEDERE, </a:t>
          </a:r>
          <a:r>
            <a:rPr lang="it-IT" sz="1400" b="1" i="1" u="sng" baseline="0">
              <a:solidFill>
                <a:sysClr val="windowText" lastClr="000000"/>
              </a:solidFill>
              <a:effectLst/>
              <a:latin typeface="+mn-lt"/>
              <a:ea typeface="+mn-ea"/>
              <a:cs typeface="+mn-cs"/>
            </a:rPr>
            <a:t>COMPILA LE CELLE AZZURRE </a:t>
          </a:r>
          <a:r>
            <a:rPr lang="it-IT" sz="1400" b="1" i="1" baseline="0">
              <a:solidFill>
                <a:sysClr val="windowText" lastClr="000000"/>
              </a:solidFill>
              <a:effectLst/>
              <a:latin typeface="+mn-lt"/>
              <a:ea typeface="+mn-ea"/>
              <a:cs typeface="+mn-cs"/>
            </a:rPr>
            <a:t>SEGUENDO I PASSAGGI</a:t>
          </a:r>
          <a:r>
            <a:rPr lang="it-IT" sz="1100" b="1" i="1" baseline="0">
              <a:solidFill>
                <a:sysClr val="windowText" lastClr="000000"/>
              </a:solidFill>
              <a:effectLst/>
              <a:latin typeface="+mn-lt"/>
              <a:ea typeface="+mn-ea"/>
              <a:cs typeface="+mn-cs"/>
            </a:rPr>
            <a:t>.</a:t>
          </a:r>
          <a:endParaRPr lang="it-IT">
            <a:solidFill>
              <a:sysClr val="windowText" lastClr="000000"/>
            </a:solidFill>
            <a:effectLst/>
          </a:endParaRPr>
        </a:p>
        <a:p>
          <a:pPr algn="ctr"/>
          <a:endParaRPr lang="it-IT" sz="11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xdr:from>
          <xdr:col>0</xdr:col>
          <xdr:colOff>12700</xdr:colOff>
          <xdr:row>0</xdr:row>
          <xdr:rowOff>0</xdr:rowOff>
        </xdr:from>
        <xdr:to>
          <xdr:col>1</xdr:col>
          <xdr:colOff>12700</xdr:colOff>
          <xdr:row>0</xdr:row>
          <xdr:rowOff>1708150</xdr:rowOff>
        </xdr:to>
        <xdr:sp macro="" textlink="">
          <xdr:nvSpPr>
            <xdr:cNvPr id="150529" name="Button 1" hidden="1">
              <a:extLst>
                <a:ext uri="{63B3BB69-23CF-44E3-9099-C40C66FF867C}">
                  <a14:compatExt spid="_x0000_s150529"/>
                </a:ext>
                <a:ext uri="{FF2B5EF4-FFF2-40B4-BE49-F238E27FC236}">
                  <a16:creationId xmlns:a16="http://schemas.microsoft.com/office/drawing/2014/main" id="{00000000-0008-0000-0E00-0000014C0200}"/>
                </a:ext>
              </a:extLst>
            </xdr:cNvPr>
            <xdr:cNvSpPr/>
          </xdr:nvSpPr>
          <xdr:spPr bwMode="auto">
            <a:xfrm>
              <a:off x="0" y="0"/>
              <a:ext cx="0" cy="0"/>
            </a:xfrm>
            <a:prstGeom prst="rect">
              <a:avLst/>
            </a:prstGeom>
            <a:noFill/>
            <a:ln w="9525">
              <a:miter lim="800000"/>
              <a:headEnd/>
              <a:tailEnd/>
            </a:ln>
          </xdr:spPr>
          <xdr:txBody>
            <a:bodyPr vertOverflow="clip" wrap="square" lIns="54864" tIns="54864" rIns="54864" bIns="54864" anchor="ctr" upright="1"/>
            <a:lstStyle/>
            <a:p>
              <a:pPr algn="ctr" rtl="0">
                <a:defRPr sz="1000"/>
              </a:pPr>
              <a:r>
                <a:rPr lang="it-IT" sz="1800" b="0" i="0" u="none" strike="noStrike" baseline="0">
                  <a:solidFill>
                    <a:srgbClr val="000000"/>
                  </a:solidFill>
                  <a:latin typeface="Calibri"/>
                  <a:cs typeface="Calibri"/>
                </a:rPr>
                <a:t>Clicca qui per tornare su "ON Anagrafica"</a:t>
              </a:r>
            </a:p>
          </xdr:txBody>
        </xdr:sp>
        <xdr:clientData fPrintsWithSheet="0"/>
      </xdr:twoCellAnchor>
    </mc:Choice>
    <mc:Fallback/>
  </mc:AlternateContent>
  <xdr:twoCellAnchor>
    <xdr:from>
      <xdr:col>0</xdr:col>
      <xdr:colOff>306387</xdr:colOff>
      <xdr:row>1</xdr:row>
      <xdr:rowOff>26986</xdr:rowOff>
    </xdr:from>
    <xdr:to>
      <xdr:col>0</xdr:col>
      <xdr:colOff>3485356</xdr:colOff>
      <xdr:row>5</xdr:row>
      <xdr:rowOff>666748</xdr:rowOff>
    </xdr:to>
    <xdr:sp macro="" textlink="">
      <xdr:nvSpPr>
        <xdr:cNvPr id="4" name="Freccia a destra 3">
          <a:extLst>
            <a:ext uri="{FF2B5EF4-FFF2-40B4-BE49-F238E27FC236}">
              <a16:creationId xmlns:a16="http://schemas.microsoft.com/office/drawing/2014/main" id="{00000000-0008-0000-0E00-000004000000}"/>
            </a:ext>
          </a:extLst>
        </xdr:cNvPr>
        <xdr:cNvSpPr/>
      </xdr:nvSpPr>
      <xdr:spPr>
        <a:xfrm>
          <a:off x="306387" y="2015330"/>
          <a:ext cx="3178969" cy="2485231"/>
        </a:xfrm>
        <a:prstGeom prst="rightArrow">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100" b="1" i="0" u="none" strike="noStrike" kern="0" cap="none" spc="0" normalizeH="0" baseline="0" noProof="0">
              <a:ln>
                <a:noFill/>
              </a:ln>
              <a:solidFill>
                <a:srgbClr val="002060"/>
              </a:solidFill>
              <a:effectLst/>
              <a:uLnTx/>
              <a:uFillTx/>
              <a:latin typeface="Calibri" panose="020F0502020204030204"/>
              <a:ea typeface="+mn-ea"/>
              <a:cs typeface="+mn-cs"/>
            </a:rPr>
            <a:t>1. Indica il regime di aiuti e ulteriori specifiche inerenti le agevolazioni  </a:t>
          </a:r>
        </a:p>
      </xdr:txBody>
    </xdr:sp>
    <xdr:clientData/>
  </xdr:twoCellAnchor>
  <xdr:twoCellAnchor>
    <xdr:from>
      <xdr:col>0</xdr:col>
      <xdr:colOff>327024</xdr:colOff>
      <xdr:row>16</xdr:row>
      <xdr:rowOff>149226</xdr:rowOff>
    </xdr:from>
    <xdr:to>
      <xdr:col>0</xdr:col>
      <xdr:colOff>3505993</xdr:colOff>
      <xdr:row>20</xdr:row>
      <xdr:rowOff>86520</xdr:rowOff>
    </xdr:to>
    <xdr:sp macro="" textlink="">
      <xdr:nvSpPr>
        <xdr:cNvPr id="7" name="Freccia a destra 6">
          <a:extLst>
            <a:ext uri="{FF2B5EF4-FFF2-40B4-BE49-F238E27FC236}">
              <a16:creationId xmlns:a16="http://schemas.microsoft.com/office/drawing/2014/main" id="{00000000-0008-0000-0E00-000007000000}"/>
            </a:ext>
          </a:extLst>
        </xdr:cNvPr>
        <xdr:cNvSpPr/>
      </xdr:nvSpPr>
      <xdr:spPr>
        <a:xfrm>
          <a:off x="327024" y="4899820"/>
          <a:ext cx="3178969" cy="2008981"/>
        </a:xfrm>
        <a:prstGeom prst="rightArrow">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100" b="1" i="0" u="none" strike="noStrike" kern="0" cap="none" spc="0" normalizeH="0" baseline="0" noProof="0">
              <a:ln>
                <a:noFill/>
              </a:ln>
              <a:solidFill>
                <a:srgbClr val="002060"/>
              </a:solidFill>
              <a:effectLst/>
              <a:uLnTx/>
              <a:uFillTx/>
              <a:latin typeface="Calibri" panose="020F0502020204030204"/>
              <a:ea typeface="+mn-ea"/>
              <a:cs typeface="+mn-cs"/>
            </a:rPr>
            <a:t>2. Indica il tasso base in vigore per l'Italia al momento della presentazione della domanda</a:t>
          </a:r>
        </a:p>
      </xdr:txBody>
    </xdr:sp>
    <xdr:clientData/>
  </xdr:twoCellAnchor>
  <xdr:twoCellAnchor>
    <xdr:from>
      <xdr:col>0</xdr:col>
      <xdr:colOff>318292</xdr:colOff>
      <xdr:row>22</xdr:row>
      <xdr:rowOff>68263</xdr:rowOff>
    </xdr:from>
    <xdr:to>
      <xdr:col>0</xdr:col>
      <xdr:colOff>3490911</xdr:colOff>
      <xdr:row>31</xdr:row>
      <xdr:rowOff>83344</xdr:rowOff>
    </xdr:to>
    <xdr:sp macro="" textlink="">
      <xdr:nvSpPr>
        <xdr:cNvPr id="9" name="Freccia a destra 8">
          <a:extLst>
            <a:ext uri="{FF2B5EF4-FFF2-40B4-BE49-F238E27FC236}">
              <a16:creationId xmlns:a16="http://schemas.microsoft.com/office/drawing/2014/main" id="{00000000-0008-0000-0E00-000009000000}"/>
            </a:ext>
          </a:extLst>
        </xdr:cNvPr>
        <xdr:cNvSpPr/>
      </xdr:nvSpPr>
      <xdr:spPr>
        <a:xfrm>
          <a:off x="318292" y="7735888"/>
          <a:ext cx="3172619" cy="2015331"/>
        </a:xfrm>
        <a:prstGeom prst="rightArrow">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100" b="1" i="0" u="none" strike="noStrike" kern="0" cap="none" spc="0" normalizeH="0" baseline="0" noProof="0">
              <a:ln>
                <a:noFill/>
              </a:ln>
              <a:solidFill>
                <a:srgbClr val="002060"/>
              </a:solidFill>
              <a:effectLst/>
              <a:uLnTx/>
              <a:uFillTx/>
              <a:latin typeface="Calibri" panose="020F0502020204030204"/>
              <a:ea typeface="+mn-ea"/>
              <a:cs typeface="+mn-cs"/>
            </a:rPr>
            <a:t>3. Indica le previsioni di rendicontazione. Avrai a disposizione 5 SAL con un imponibile minimo pari al 10% dell'investimento totale</a:t>
          </a:r>
        </a:p>
      </xdr:txBody>
    </xdr:sp>
    <xdr:clientData/>
  </xdr:twoCellAnchor>
  <xdr:twoCellAnchor>
    <xdr:from>
      <xdr:col>0</xdr:col>
      <xdr:colOff>285750</xdr:colOff>
      <xdr:row>35</xdr:row>
      <xdr:rowOff>333375</xdr:rowOff>
    </xdr:from>
    <xdr:to>
      <xdr:col>0</xdr:col>
      <xdr:colOff>3464719</xdr:colOff>
      <xdr:row>40</xdr:row>
      <xdr:rowOff>426243</xdr:rowOff>
    </xdr:to>
    <xdr:sp macro="" textlink="">
      <xdr:nvSpPr>
        <xdr:cNvPr id="10" name="Freccia a destra 9">
          <a:extLst>
            <a:ext uri="{FF2B5EF4-FFF2-40B4-BE49-F238E27FC236}">
              <a16:creationId xmlns:a16="http://schemas.microsoft.com/office/drawing/2014/main" id="{00000000-0008-0000-0E00-00000A000000}"/>
            </a:ext>
          </a:extLst>
        </xdr:cNvPr>
        <xdr:cNvSpPr/>
      </xdr:nvSpPr>
      <xdr:spPr>
        <a:xfrm>
          <a:off x="285750" y="11060906"/>
          <a:ext cx="3178969" cy="2021681"/>
        </a:xfrm>
        <a:prstGeom prst="rightArrow">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100" b="1" i="0" u="none" strike="noStrike" kern="0" cap="none" spc="0" normalizeH="0" baseline="0" noProof="0">
              <a:ln>
                <a:noFill/>
              </a:ln>
              <a:solidFill>
                <a:srgbClr val="002060"/>
              </a:solidFill>
              <a:effectLst/>
              <a:uLnTx/>
              <a:uFillTx/>
              <a:latin typeface="Calibri" panose="020F0502020204030204"/>
              <a:ea typeface="+mn-ea"/>
              <a:cs typeface="+mn-cs"/>
            </a:rPr>
            <a:t>4. Indica la combinazione di aiuti richiesti</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30153</xdr:colOff>
      <xdr:row>2</xdr:row>
      <xdr:rowOff>0</xdr:rowOff>
    </xdr:from>
    <xdr:to>
      <xdr:col>6</xdr:col>
      <xdr:colOff>392110</xdr:colOff>
      <xdr:row>2</xdr:row>
      <xdr:rowOff>0</xdr:rowOff>
    </xdr:to>
    <xdr:sp macro="" textlink="">
      <xdr:nvSpPr>
        <xdr:cNvPr id="2" name="Freccia a destra 1">
          <a:extLst>
            <a:ext uri="{FF2B5EF4-FFF2-40B4-BE49-F238E27FC236}">
              <a16:creationId xmlns:a16="http://schemas.microsoft.com/office/drawing/2014/main" id="{00000000-0008-0000-0F00-000002000000}"/>
            </a:ext>
          </a:extLst>
        </xdr:cNvPr>
        <xdr:cNvSpPr/>
      </xdr:nvSpPr>
      <xdr:spPr>
        <a:xfrm flipH="1">
          <a:off x="7036320" y="370417"/>
          <a:ext cx="2970748"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it-IT" sz="1200" b="1"/>
            <a:t>Inserire la data presunta di presentazione della domanda</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47625</xdr:colOff>
      <xdr:row>1</xdr:row>
      <xdr:rowOff>171450</xdr:rowOff>
    </xdr:from>
    <xdr:to>
      <xdr:col>3</xdr:col>
      <xdr:colOff>2717384</xdr:colOff>
      <xdr:row>6</xdr:row>
      <xdr:rowOff>174495</xdr:rowOff>
    </xdr:to>
    <xdr:pic>
      <xdr:nvPicPr>
        <xdr:cNvPr id="2" name="Immagine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xfrm>
          <a:off x="1644650" y="352425"/>
          <a:ext cx="3307934" cy="923795"/>
        </a:xfrm>
        <a:prstGeom prst="rect">
          <a:avLst/>
        </a:prstGeom>
      </xdr:spPr>
    </xdr:pic>
    <xdr:clientData/>
  </xdr:twoCellAnchor>
  <xdr:twoCellAnchor editAs="oneCell">
    <xdr:from>
      <xdr:col>4</xdr:col>
      <xdr:colOff>201612</xdr:colOff>
      <xdr:row>1</xdr:row>
      <xdr:rowOff>36512</xdr:rowOff>
    </xdr:from>
    <xdr:to>
      <xdr:col>4</xdr:col>
      <xdr:colOff>2077813</xdr:colOff>
      <xdr:row>4</xdr:row>
      <xdr:rowOff>96758</xdr:rowOff>
    </xdr:to>
    <xdr:pic>
      <xdr:nvPicPr>
        <xdr:cNvPr id="3" name="Immagine 2">
          <a:extLst>
            <a:ext uri="{FF2B5EF4-FFF2-40B4-BE49-F238E27FC236}">
              <a16:creationId xmlns:a16="http://schemas.microsoft.com/office/drawing/2014/main" id="{00000000-0008-0000-1500-000003000000}"/>
            </a:ext>
          </a:extLst>
        </xdr:cNvPr>
        <xdr:cNvPicPr>
          <a:picLocks noChangeAspect="1"/>
        </xdr:cNvPicPr>
      </xdr:nvPicPr>
      <xdr:blipFill>
        <a:blip xmlns:r="http://schemas.openxmlformats.org/officeDocument/2006/relationships" r:embed="rId2"/>
        <a:stretch>
          <a:fillRect/>
        </a:stretch>
      </xdr:blipFill>
      <xdr:spPr>
        <a:xfrm>
          <a:off x="5559425" y="219075"/>
          <a:ext cx="1876201" cy="60793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488950</xdr:colOff>
          <xdr:row>0</xdr:row>
          <xdr:rowOff>95250</xdr:rowOff>
        </xdr:from>
        <xdr:to>
          <xdr:col>4</xdr:col>
          <xdr:colOff>69850</xdr:colOff>
          <xdr:row>4</xdr:row>
          <xdr:rowOff>57150</xdr:rowOff>
        </xdr:to>
        <xdr:sp macro="" textlink="">
          <xdr:nvSpPr>
            <xdr:cNvPr id="82945" name="Button 1" hidden="1">
              <a:extLst>
                <a:ext uri="{63B3BB69-23CF-44E3-9099-C40C66FF867C}">
                  <a14:compatExt spid="_x0000_s82945"/>
                </a:ext>
                <a:ext uri="{FF2B5EF4-FFF2-40B4-BE49-F238E27FC236}">
                  <a16:creationId xmlns:a16="http://schemas.microsoft.com/office/drawing/2014/main" id="{00000000-0008-0000-1600-0000014401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it-IT" sz="1100" b="0" i="0" u="none" strike="noStrike" baseline="0">
                  <a:solidFill>
                    <a:srgbClr val="000000"/>
                  </a:solidFill>
                  <a:latin typeface="Calibri"/>
                  <a:cs typeface="Calibri"/>
                </a:rPr>
                <a:t>SALVA PDF</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165100</xdr:colOff>
          <xdr:row>0</xdr:row>
          <xdr:rowOff>114300</xdr:rowOff>
        </xdr:from>
        <xdr:to>
          <xdr:col>12</xdr:col>
          <xdr:colOff>228600</xdr:colOff>
          <xdr:row>4</xdr:row>
          <xdr:rowOff>69850</xdr:rowOff>
        </xdr:to>
        <xdr:sp macro="" textlink="">
          <xdr:nvSpPr>
            <xdr:cNvPr id="116737" name="Button 1" hidden="1">
              <a:extLst>
                <a:ext uri="{63B3BB69-23CF-44E3-9099-C40C66FF867C}">
                  <a14:compatExt spid="_x0000_s116737"/>
                </a:ext>
                <a:ext uri="{FF2B5EF4-FFF2-40B4-BE49-F238E27FC236}">
                  <a16:creationId xmlns:a16="http://schemas.microsoft.com/office/drawing/2014/main" id="{00000000-0008-0000-1C00-000001C801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it-IT" sz="1100" b="0" i="0" u="none" strike="noStrike" baseline="0">
                  <a:solidFill>
                    <a:srgbClr val="000000"/>
                  </a:solidFill>
                  <a:latin typeface="Calibri"/>
                  <a:cs typeface="Calibri"/>
                </a:rPr>
                <a:t>SALVA PDF</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552450</xdr:colOff>
          <xdr:row>0</xdr:row>
          <xdr:rowOff>95250</xdr:rowOff>
        </xdr:from>
        <xdr:to>
          <xdr:col>11</xdr:col>
          <xdr:colOff>285750</xdr:colOff>
          <xdr:row>4</xdr:row>
          <xdr:rowOff>50800</xdr:rowOff>
        </xdr:to>
        <xdr:sp macro="" textlink="">
          <xdr:nvSpPr>
            <xdr:cNvPr id="118785" name="Button 1" hidden="1">
              <a:extLst>
                <a:ext uri="{63B3BB69-23CF-44E3-9099-C40C66FF867C}">
                  <a14:compatExt spid="_x0000_s118785"/>
                </a:ext>
                <a:ext uri="{FF2B5EF4-FFF2-40B4-BE49-F238E27FC236}">
                  <a16:creationId xmlns:a16="http://schemas.microsoft.com/office/drawing/2014/main" id="{00000000-0008-0000-1F00-000001D001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it-IT" sz="1100" b="0" i="0" u="none" strike="noStrike" baseline="0">
                  <a:solidFill>
                    <a:srgbClr val="000000"/>
                  </a:solidFill>
                  <a:latin typeface="Calibri"/>
                  <a:cs typeface="Calibri"/>
                </a:rPr>
                <a:t>SALVA PDF</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488950</xdr:colOff>
          <xdr:row>0</xdr:row>
          <xdr:rowOff>107950</xdr:rowOff>
        </xdr:from>
        <xdr:to>
          <xdr:col>11</xdr:col>
          <xdr:colOff>222250</xdr:colOff>
          <xdr:row>4</xdr:row>
          <xdr:rowOff>57150</xdr:rowOff>
        </xdr:to>
        <xdr:sp macro="" textlink="">
          <xdr:nvSpPr>
            <xdr:cNvPr id="138241" name="Button 1" hidden="1">
              <a:extLst>
                <a:ext uri="{63B3BB69-23CF-44E3-9099-C40C66FF867C}">
                  <a14:compatExt spid="_x0000_s138241"/>
                </a:ext>
                <a:ext uri="{FF2B5EF4-FFF2-40B4-BE49-F238E27FC236}">
                  <a16:creationId xmlns:a16="http://schemas.microsoft.com/office/drawing/2014/main" id="{00000000-0008-0000-2200-0000011C02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it-IT" sz="1100" b="0" i="0" u="none" strike="noStrike" baseline="0">
                  <a:solidFill>
                    <a:srgbClr val="000000"/>
                  </a:solidFill>
                  <a:latin typeface="Calibri"/>
                  <a:cs typeface="Calibri"/>
                </a:rPr>
                <a:t>SALVA PDF</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209550</xdr:colOff>
          <xdr:row>1</xdr:row>
          <xdr:rowOff>107950</xdr:rowOff>
        </xdr:from>
        <xdr:to>
          <xdr:col>11</xdr:col>
          <xdr:colOff>552450</xdr:colOff>
          <xdr:row>5</xdr:row>
          <xdr:rowOff>69850</xdr:rowOff>
        </xdr:to>
        <xdr:sp macro="" textlink="">
          <xdr:nvSpPr>
            <xdr:cNvPr id="139265" name="Button 1" hidden="1">
              <a:extLst>
                <a:ext uri="{63B3BB69-23CF-44E3-9099-C40C66FF867C}">
                  <a14:compatExt spid="_x0000_s139265"/>
                </a:ext>
                <a:ext uri="{FF2B5EF4-FFF2-40B4-BE49-F238E27FC236}">
                  <a16:creationId xmlns:a16="http://schemas.microsoft.com/office/drawing/2014/main" id="{00000000-0008-0000-2400-0000012002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it-IT" sz="1100" b="0" i="0" u="none" strike="noStrike" baseline="0">
                  <a:solidFill>
                    <a:srgbClr val="000000"/>
                  </a:solidFill>
                  <a:latin typeface="Calibri"/>
                  <a:cs typeface="Calibri"/>
                </a:rPr>
                <a:t>SALVA PDF</a:t>
              </a:r>
            </a:p>
          </xdr:txBody>
        </xdr:sp>
        <xdr:clientData fPrintsWithSheet="0"/>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488950</xdr:colOff>
          <xdr:row>1</xdr:row>
          <xdr:rowOff>107950</xdr:rowOff>
        </xdr:from>
        <xdr:to>
          <xdr:col>11</xdr:col>
          <xdr:colOff>831850</xdr:colOff>
          <xdr:row>5</xdr:row>
          <xdr:rowOff>69850</xdr:rowOff>
        </xdr:to>
        <xdr:sp macro="" textlink="">
          <xdr:nvSpPr>
            <xdr:cNvPr id="142337" name="Button 1" hidden="1">
              <a:extLst>
                <a:ext uri="{63B3BB69-23CF-44E3-9099-C40C66FF867C}">
                  <a14:compatExt spid="_x0000_s142337"/>
                </a:ext>
                <a:ext uri="{FF2B5EF4-FFF2-40B4-BE49-F238E27FC236}">
                  <a16:creationId xmlns:a16="http://schemas.microsoft.com/office/drawing/2014/main" id="{00000000-0008-0000-2800-0000012C02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it-IT" sz="1100" b="0" i="0" u="none" strike="noStrike" baseline="0">
                  <a:solidFill>
                    <a:srgbClr val="000000"/>
                  </a:solidFill>
                  <a:latin typeface="Calibri"/>
                  <a:cs typeface="Calibri"/>
                </a:rPr>
                <a:t>SALVA PDF</a:t>
              </a:r>
            </a:p>
          </xdr:txBody>
        </xdr:sp>
        <xdr:clientData fPrintsWithSheet="0"/>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552450</xdr:colOff>
          <xdr:row>0</xdr:row>
          <xdr:rowOff>69850</xdr:rowOff>
        </xdr:from>
        <xdr:to>
          <xdr:col>11</xdr:col>
          <xdr:colOff>285750</xdr:colOff>
          <xdr:row>4</xdr:row>
          <xdr:rowOff>19050</xdr:rowOff>
        </xdr:to>
        <xdr:sp macro="" textlink="">
          <xdr:nvSpPr>
            <xdr:cNvPr id="145409" name="Button 1" hidden="1">
              <a:extLst>
                <a:ext uri="{63B3BB69-23CF-44E3-9099-C40C66FF867C}">
                  <a14:compatExt spid="_x0000_s145409"/>
                </a:ext>
                <a:ext uri="{FF2B5EF4-FFF2-40B4-BE49-F238E27FC236}">
                  <a16:creationId xmlns:a16="http://schemas.microsoft.com/office/drawing/2014/main" id="{00000000-0008-0000-2C00-0000013802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it-IT" sz="1100" b="0" i="0" u="none" strike="noStrike" baseline="0">
                  <a:solidFill>
                    <a:srgbClr val="000000"/>
                  </a:solidFill>
                  <a:latin typeface="Calibri"/>
                  <a:cs typeface="Calibri"/>
                </a:rPr>
                <a:t>SALVA PDF</a:t>
              </a:r>
            </a:p>
          </xdr:txBody>
        </xdr:sp>
        <xdr:clientData fPrintsWithSheet="0"/>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590550</xdr:colOff>
          <xdr:row>2</xdr:row>
          <xdr:rowOff>0</xdr:rowOff>
        </xdr:from>
        <xdr:to>
          <xdr:col>11</xdr:col>
          <xdr:colOff>323850</xdr:colOff>
          <xdr:row>5</xdr:row>
          <xdr:rowOff>165100</xdr:rowOff>
        </xdr:to>
        <xdr:sp macro="" textlink="">
          <xdr:nvSpPr>
            <xdr:cNvPr id="148481" name="Button 1" hidden="1">
              <a:extLst>
                <a:ext uri="{63B3BB69-23CF-44E3-9099-C40C66FF867C}">
                  <a14:compatExt spid="_x0000_s148481"/>
                </a:ext>
                <a:ext uri="{FF2B5EF4-FFF2-40B4-BE49-F238E27FC236}">
                  <a16:creationId xmlns:a16="http://schemas.microsoft.com/office/drawing/2014/main" id="{00000000-0008-0000-3000-0000014402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it-IT" sz="1100" b="0" i="0" u="none" strike="noStrike" baseline="0">
                  <a:solidFill>
                    <a:srgbClr val="000000"/>
                  </a:solidFill>
                  <a:latin typeface="Calibri"/>
                  <a:cs typeface="Calibri"/>
                </a:rPr>
                <a:t>SALVA PDF</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nvitalia.sharepoint.com/eb87b71677ad64d4/Desktop/Copia%20di%20SSI_Prospetto%20di%20Valutazione%20Eco-Fin_nuova%20edizion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nvitalia.sharepoint.com/Users/mcrebelli/OneDrive%20-%20Invitalia/BENEFICIO%20ATTUALIZZATO/NIT000XXXX%20-%20ATTUAZIONE_V_5_22_11_ESL_test161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i Settoriali CNDCEC"/>
      <sheetName val="Tool a.2.1"/>
      <sheetName val="Foglio4"/>
      <sheetName val="Tool a.2.2"/>
      <sheetName val="Tool a.2.3"/>
      <sheetName val="ECO_FIN"/>
      <sheetName val="Giudizi"/>
      <sheetName val="Regioni"/>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INPUT DATI"/>
      <sheetName val="2a-NOTA EROGAZIONE ANTICIPO"/>
      <sheetName val="2b-MANDATO ANTICIPO"/>
      <sheetName val="3a-NOTA EROGAZIONE 1°SAL"/>
      <sheetName val="3b-MANDATO 1°SAL"/>
      <sheetName val="4a-NOTA EROGAZIONE 2°SAL"/>
      <sheetName val="4b-MANDATO 2°SAL"/>
      <sheetName val="5a-NOTA EROGAZIONE SALDO"/>
      <sheetName val="5b-MANDATO SALDO"/>
      <sheetName val="6a-NOTA EROGAZIONE SALDO UNICO"/>
      <sheetName val="6b-MANDATO SALDO UNICO"/>
      <sheetName val="DIFFIDA - REVOCA"/>
      <sheetName val="VARIAZIONI"/>
      <sheetName val="8 - RIEPILOGO FINALE"/>
      <sheetName val="ESL_V2"/>
      <sheetName val="DATI OUT"/>
      <sheetName val="BRIDGE"/>
      <sheetName val="APPOGGIO"/>
      <sheetName val="VARIAZIONI (2)"/>
      <sheetName val="BRIDGE (2)"/>
      <sheetName val="Foglio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Set>
  </externalBook>
</externalLink>
</file>

<file path=xl/persons/person.xml><?xml version="1.0" encoding="utf-8"?>
<personList xmlns="http://schemas.microsoft.com/office/spreadsheetml/2018/threadedcomments" xmlns:x="http://schemas.openxmlformats.org/spreadsheetml/2006/main">
  <person displayName="Garofalo Elena" id="{9D92B224-CC1B-4AE3-86E0-D6C7F1DD19F2}" userId="S::egarofalo@invitalia.it::b4edb64f-8b07-48c5-a054-74a6ce2500d6" providerId="AD"/>
  <person displayName="Angelini Luca" id="{4752EE87-9E9D-409F-ADBB-68FB166006BA}" userId="S::lcangelini@invitalia.it::300d77a1-22bb-4e2d-b3f8-17c3756d8178" providerId="AD"/>
  <person displayName="Macciocca Paola" id="{BC82F5D4-F4C2-4437-A242-00D8EA3166E5}" userId="S::pmacciocca@invitalia.it::68b60c31-fd74-483a-afeb-6d957edc4a6b" providerId="AD"/>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3" dT="2021-12-22T10:49:00.48" personId="{4752EE87-9E9D-409F-ADBB-68FB166006BA}" id="{7BCE0D73-9969-4DE1-84A6-EDC51EA1843C}">
    <text>Inserire i valori riportati nel format domanda seconda fase</text>
  </threadedComment>
  <threadedComment ref="B16" dT="2021-12-22T10:49:00.48" personId="{4752EE87-9E9D-409F-ADBB-68FB166006BA}" id="{7648B647-8651-4AA4-B207-DCC0D348040C}">
    <text>Inserire i valori riportati nel format domanda seconda fase</text>
  </threadedComment>
</ThreadedComments>
</file>

<file path=xl/threadedComments/threadedComment2.xml><?xml version="1.0" encoding="utf-8"?>
<ThreadedComments xmlns="http://schemas.microsoft.com/office/spreadsheetml/2018/threadedcomments" xmlns:x="http://schemas.openxmlformats.org/spreadsheetml/2006/main">
  <threadedComment ref="B8" dT="2020-05-29T09:06:22.06" personId="{BC82F5D4-F4C2-4437-A242-00D8EA3166E5}" id="{0C60AB32-7E67-482C-B7FE-D0AF09EF3ACA}">
    <text>da inserire nella scheda cup/cor</text>
  </threadedComment>
</ThreadedComments>
</file>

<file path=xl/threadedComments/threadedComment3.xml><?xml version="1.0" encoding="utf-8"?>
<ThreadedComments xmlns="http://schemas.microsoft.com/office/spreadsheetml/2018/threadedcomments" xmlns:x="http://schemas.openxmlformats.org/spreadsheetml/2006/main">
  <threadedComment ref="E70" dT="2021-10-27T18:07:57.93" personId="{9D92B224-CC1B-4AE3-86E0-D6C7F1DD19F2}" id="{CB0822BB-F0B7-4AE4-9FA9-309167DCE51B}">
    <text>LIMITATAMENTE AL TUTORAGGIO</text>
  </threadedComment>
  <threadedComment ref="E90" dT="2020-05-29T09:06:22.06" personId="{BC82F5D4-F4C2-4437-A242-00D8EA3166E5}" id="{BC8BF001-8566-4416-9C51-D774AEEA0588}">
    <text>da inserire nella scheda cup/cor</text>
  </threadedComment>
  <threadedComment ref="F90" dT="2020-05-29T09:06:22.06" personId="{BC82F5D4-F4C2-4437-A242-00D8EA3166E5}" id="{5042FDA4-2744-4435-853A-55C000BD2D9F}">
    <text>da inserire nella scheda cup/cor</text>
  </threadedComment>
</ThreadedComments>
</file>

<file path=xl/threadedComments/threadedComment4.xml><?xml version="1.0" encoding="utf-8"?>
<ThreadedComments xmlns="http://schemas.microsoft.com/office/spreadsheetml/2018/threadedcomments" xmlns:x="http://schemas.openxmlformats.org/spreadsheetml/2006/main">
  <threadedComment ref="B102" dT="2022-03-23T14:11:04.69" personId="{4752EE87-9E9D-409F-ADBB-68FB166006BA}" id="{258DEF94-F340-4754-8B5D-AA95BCF4430B}">
    <text>Numero fattura e fornitore devono riportare esattamente la stessa dicitura utilizzata in precedenza</text>
  </threadedComment>
</ThreadedComments>
</file>

<file path=xl/threadedComments/threadedComment5.xml><?xml version="1.0" encoding="utf-8"?>
<ThreadedComments xmlns="http://schemas.microsoft.com/office/spreadsheetml/2018/threadedcomments" xmlns:x="http://schemas.openxmlformats.org/spreadsheetml/2006/main">
  <threadedComment ref="B106" dT="2022-03-23T14:11:38.62" personId="{4752EE87-9E9D-409F-ADBB-68FB166006BA}" id="{BB06F85D-05E3-47D4-BA50-37DB0297AFD8}">
    <text>Numero fattura e fornitore devono riportare esattamente la stessa dicitura utilizzata in precedenza</text>
  </threadedComment>
</ThreadedComments>
</file>

<file path=xl/threadedComments/threadedComment6.xml><?xml version="1.0" encoding="utf-8"?>
<ThreadedComments xmlns="http://schemas.microsoft.com/office/spreadsheetml/2018/threadedcomments" xmlns:x="http://schemas.openxmlformats.org/spreadsheetml/2006/main">
  <threadedComment ref="B101" dT="2022-03-23T14:11:59.23" personId="{4752EE87-9E9D-409F-ADBB-68FB166006BA}" id="{48C774ED-758D-4019-B827-F2B3DAE9B3E8}">
    <text>Numero fattura e fornitore devono riportare esattamente la stessa dicitura utilizzata in precedenza</text>
  </threadedComment>
</ThreadedComments>
</file>

<file path=xl/threadedComments/threadedComment7.xml><?xml version="1.0" encoding="utf-8"?>
<ThreadedComments xmlns="http://schemas.microsoft.com/office/spreadsheetml/2018/threadedcomments" xmlns:x="http://schemas.openxmlformats.org/spreadsheetml/2006/main">
  <threadedComment ref="B103" dT="2022-03-23T14:12:12.85" personId="{4752EE87-9E9D-409F-ADBB-68FB166006BA}" id="{49559FCE-EBD9-4A0A-989F-E79518497C2A}">
    <text>Numero fattura e fornitore devono riportare esattamente la stessa dicitura utilizzata in precedenza</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8.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9.bin"/><Relationship Id="rId4" Type="http://schemas.openxmlformats.org/officeDocument/2006/relationships/ctrlProp" Target="../ctrlProps/ctrlProp2.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10.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12.bin"/><Relationship Id="rId4" Type="http://schemas.openxmlformats.org/officeDocument/2006/relationships/ctrlProp" Target="../ctrlProps/ctrlProp8.x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3.bin"/><Relationship Id="rId1" Type="http://schemas.openxmlformats.org/officeDocument/2006/relationships/hyperlink" Target="https://ec.europa.eu/competition/state_aid/legislation/reference_rates.html" TargetMode="External"/><Relationship Id="rId5" Type="http://schemas.openxmlformats.org/officeDocument/2006/relationships/ctrlProp" Target="../ctrlProps/ctrlProp9.xml"/><Relationship Id="rId4" Type="http://schemas.openxmlformats.org/officeDocument/2006/relationships/vmlDrawing" Target="../drawings/vmlDrawing8.v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9.vml"/></Relationships>
</file>

<file path=xl/worksheets/_rels/sheet2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1.vml"/><Relationship Id="rId1" Type="http://schemas.openxmlformats.org/officeDocument/2006/relationships/printerSettings" Target="../printerSettings/printerSettings18.bin"/><Relationship Id="rId4" Type="http://schemas.microsoft.com/office/2017/10/relationships/threadedComment" Target="../threadedComments/threadedComment2.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9.bin"/><Relationship Id="rId5" Type="http://schemas.microsoft.com/office/2017/10/relationships/threadedComment" Target="../threadedComments/threadedComment3.xml"/><Relationship Id="rId4" Type="http://schemas.openxmlformats.org/officeDocument/2006/relationships/comments" Target="../comments6.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20.bin"/><Relationship Id="rId4" Type="http://schemas.openxmlformats.org/officeDocument/2006/relationships/ctrlProp" Target="../ctrlProps/ctrlProp10.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4.v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1.xml"/><Relationship Id="rId1" Type="http://schemas.openxmlformats.org/officeDocument/2006/relationships/printerSettings" Target="../printerSettings/printerSettings25.bin"/><Relationship Id="rId4" Type="http://schemas.openxmlformats.org/officeDocument/2006/relationships/ctrlProp" Target="../ctrlProps/ctrlProp11.xml"/></Relationships>
</file>

<file path=xl/worksheets/_rels/sheet3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6.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2.xml"/><Relationship Id="rId1" Type="http://schemas.openxmlformats.org/officeDocument/2006/relationships/printerSettings" Target="../printerSettings/printerSettings28.bin"/><Relationship Id="rId4" Type="http://schemas.openxmlformats.org/officeDocument/2006/relationships/ctrlProp" Target="../ctrlProps/ctrlProp12.xml"/></Relationships>
</file>

<file path=xl/worksheets/_rels/sheet3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8.vml"/><Relationship Id="rId1" Type="http://schemas.openxmlformats.org/officeDocument/2006/relationships/printerSettings" Target="../printerSettings/printerSettings29.bin"/><Relationship Id="rId4" Type="http://schemas.microsoft.com/office/2017/10/relationships/threadedComment" Target="../threadedComments/threadedComment4.xml"/></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3.xml"/><Relationship Id="rId1" Type="http://schemas.openxmlformats.org/officeDocument/2006/relationships/printerSettings" Target="../printerSettings/printerSettings31.bin"/><Relationship Id="rId4" Type="http://schemas.openxmlformats.org/officeDocument/2006/relationships/ctrlProp" Target="../ctrlProps/ctrlProp13.xml"/></Relationships>
</file>

<file path=xl/worksheets/_rels/sheet3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0.vml"/><Relationship Id="rId1" Type="http://schemas.openxmlformats.org/officeDocument/2006/relationships/printerSettings" Target="../printerSettings/printerSettings32.bin"/><Relationship Id="rId4" Type="http://schemas.microsoft.com/office/2017/10/relationships/threadedComment" Target="../threadedComments/threadedComment5.xml"/></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14.xml"/><Relationship Id="rId1" Type="http://schemas.openxmlformats.org/officeDocument/2006/relationships/printerSettings" Target="../printerSettings/printerSettings33.bin"/><Relationship Id="rId4" Type="http://schemas.openxmlformats.org/officeDocument/2006/relationships/ctrlProp" Target="../ctrlProps/ctrlProp14.xm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3" Type="http://schemas.microsoft.com/office/2017/10/relationships/threadedComment" Target="../threadedComments/threadedComment6.xml"/><Relationship Id="rId2" Type="http://schemas.openxmlformats.org/officeDocument/2006/relationships/comments" Target="../comments11.xml"/><Relationship Id="rId1" Type="http://schemas.openxmlformats.org/officeDocument/2006/relationships/vmlDrawing" Target="../drawings/vmlDrawing22.vml"/></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15.xml"/><Relationship Id="rId1" Type="http://schemas.openxmlformats.org/officeDocument/2006/relationships/printerSettings" Target="../printerSettings/printerSettings35.bin"/><Relationship Id="rId4" Type="http://schemas.openxmlformats.org/officeDocument/2006/relationships/ctrlProp" Target="../ctrlProps/ctrlProp15.xml"/></Relationships>
</file>

<file path=xl/worksheets/_rels/sheet44.xml.rels><?xml version="1.0" encoding="UTF-8" standalone="yes"?>
<Relationships xmlns="http://schemas.openxmlformats.org/package/2006/relationships"><Relationship Id="rId3" Type="http://schemas.microsoft.com/office/2017/10/relationships/threadedComment" Target="../threadedComments/threadedComment7.xml"/><Relationship Id="rId2" Type="http://schemas.openxmlformats.org/officeDocument/2006/relationships/comments" Target="../comments12.xml"/><Relationship Id="rId1" Type="http://schemas.openxmlformats.org/officeDocument/2006/relationships/vmlDrawing" Target="../drawings/vmlDrawing24.vml"/></Relationships>
</file>

<file path=xl/worksheets/_rels/sheet45.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16.xml"/><Relationship Id="rId1" Type="http://schemas.openxmlformats.org/officeDocument/2006/relationships/printerSettings" Target="../printerSettings/printerSettings36.bin"/><Relationship Id="rId4" Type="http://schemas.openxmlformats.org/officeDocument/2006/relationships/ctrlProp" Target="../ctrlProps/ctrlProp16.xml"/></Relationships>
</file>

<file path=xl/worksheets/_rels/sheet48.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26.vml"/></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17.xml"/><Relationship Id="rId1" Type="http://schemas.openxmlformats.org/officeDocument/2006/relationships/printerSettings" Target="../printerSettings/printerSettings37.bin"/><Relationship Id="rId4" Type="http://schemas.openxmlformats.org/officeDocument/2006/relationships/ctrlProp" Target="../ctrlProps/ctrlProp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6DDBF-F2BB-4F3F-991F-4354823013F2}">
  <sheetPr codeName="Foglio1"/>
  <dimension ref="A1:I13"/>
  <sheetViews>
    <sheetView workbookViewId="0">
      <selection activeCell="D20" sqref="D20"/>
    </sheetView>
  </sheetViews>
  <sheetFormatPr defaultRowHeight="14.5" x14ac:dyDescent="0.35"/>
  <cols>
    <col min="1" max="1" width="38.54296875" customWidth="1"/>
    <col min="2" max="2" width="14.1796875" customWidth="1"/>
    <col min="3" max="3" width="17" customWidth="1"/>
    <col min="9" max="9" width="10.7265625" bestFit="1" customWidth="1"/>
  </cols>
  <sheetData>
    <row r="1" spans="1:9" ht="15" thickBot="1" x14ac:dyDescent="0.4">
      <c r="A1" s="50" t="s">
        <v>0</v>
      </c>
      <c r="B1" s="49"/>
    </row>
    <row r="2" spans="1:9" ht="15" thickBot="1" x14ac:dyDescent="0.4">
      <c r="A2" s="50" t="s">
        <v>1</v>
      </c>
      <c r="B2" s="49" t="s">
        <v>2</v>
      </c>
    </row>
    <row r="3" spans="1:9" ht="15" thickBot="1" x14ac:dyDescent="0.4">
      <c r="A3" s="50" t="s">
        <v>3</v>
      </c>
      <c r="B3" s="49"/>
    </row>
    <row r="4" spans="1:9" ht="15" thickBot="1" x14ac:dyDescent="0.4">
      <c r="A4" s="50" t="s">
        <v>4</v>
      </c>
      <c r="B4" s="106"/>
      <c r="I4" s="316"/>
    </row>
    <row r="5" spans="1:9" ht="15" thickBot="1" x14ac:dyDescent="0.4">
      <c r="A5" s="50" t="s">
        <v>5</v>
      </c>
      <c r="B5" s="106"/>
    </row>
    <row r="6" spans="1:9" ht="39" customHeight="1" thickBot="1" x14ac:dyDescent="0.4"/>
    <row r="7" spans="1:9" ht="29.5" thickBot="1" x14ac:dyDescent="0.4">
      <c r="A7" s="94" t="s">
        <v>6</v>
      </c>
      <c r="B7" s="1277"/>
    </row>
    <row r="10" spans="1:9" ht="15" thickBot="1" x14ac:dyDescent="0.4"/>
    <row r="11" spans="1:9" ht="77.25" customHeight="1" thickBot="1" x14ac:dyDescent="0.4">
      <c r="A11" s="249" t="s">
        <v>7</v>
      </c>
      <c r="B11" s="250"/>
      <c r="C11" s="313" t="str">
        <f>IF('Dati riepilogativi'!B2="Capo II","",+_xlfn.CONCAT(Analisi!BF40,"; ",Analisi!BD40))</f>
        <v>Accoglibile; Requisito accoglibilità come da GBER Art. 2 comma 18.</v>
      </c>
    </row>
    <row r="12" spans="1:9" ht="15" thickBot="1" x14ac:dyDescent="0.4"/>
    <row r="13" spans="1:9" ht="29.5" thickBot="1" x14ac:dyDescent="0.4">
      <c r="A13" s="835" t="s">
        <v>8</v>
      </c>
      <c r="B13" s="250"/>
    </row>
  </sheetData>
  <dataValidations count="2">
    <dataValidation type="list" allowBlank="1" showInputMessage="1" showErrorMessage="1" sqref="B2" xr:uid="{6123FAE4-EA97-41F2-9816-D20B11943F74}">
      <formula1>"Capo II,Capo III,"</formula1>
    </dataValidation>
    <dataValidation type="textLength" allowBlank="1" showInputMessage="1" showErrorMessage="1" sqref="B1" xr:uid="{5D02DC78-202F-41FC-9416-4E0F40E34F34}">
      <formula1>11</formula1>
      <formula2>11</formula2>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41A621BF-596E-48A8-BAE7-06F0BE21B7F9}">
            <xm:f>Analisi!$BF$40="Accoglibile"</xm:f>
            <x14:dxf>
              <font>
                <color theme="9"/>
              </font>
            </x14:dxf>
          </x14:cfRule>
          <xm:sqref>C11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CCE8F-A98A-4231-BA68-2F292AC9AF8F}">
  <sheetPr codeName="Foglio2">
    <tabColor rgb="FF92D050"/>
  </sheetPr>
  <dimension ref="B2:I24"/>
  <sheetViews>
    <sheetView zoomScaleNormal="100" workbookViewId="0">
      <selection activeCell="D20" sqref="D20"/>
    </sheetView>
  </sheetViews>
  <sheetFormatPr defaultRowHeight="14.5" x14ac:dyDescent="0.35"/>
  <cols>
    <col min="2" max="2" width="42.453125" bestFit="1" customWidth="1"/>
    <col min="3" max="3" width="12.1796875" customWidth="1"/>
    <col min="4" max="4" width="19.54296875" customWidth="1"/>
    <col min="5" max="5" width="30" customWidth="1"/>
    <col min="7" max="7" width="24.1796875" customWidth="1"/>
    <col min="8" max="8" width="13.81640625" bestFit="1" customWidth="1"/>
    <col min="9" max="9" width="39.1796875" customWidth="1"/>
  </cols>
  <sheetData>
    <row r="2" spans="2:9" ht="30.65" customHeight="1" thickBot="1" x14ac:dyDescent="0.4">
      <c r="B2" s="265" t="s">
        <v>9</v>
      </c>
      <c r="C2" s="1622" t="s">
        <v>10</v>
      </c>
      <c r="D2" s="1623"/>
      <c r="E2" s="266"/>
    </row>
    <row r="3" spans="2:9" ht="15" customHeight="1" x14ac:dyDescent="0.35">
      <c r="B3" s="1624" t="s">
        <v>11</v>
      </c>
      <c r="C3" s="267">
        <v>1</v>
      </c>
      <c r="D3" s="267">
        <v>2</v>
      </c>
      <c r="E3" s="268" t="s">
        <v>12</v>
      </c>
    </row>
    <row r="4" spans="2:9" ht="15.75" customHeight="1" thickBot="1" x14ac:dyDescent="0.4">
      <c r="B4" s="1625"/>
      <c r="C4" s="269" t="s">
        <v>13</v>
      </c>
      <c r="D4" s="269" t="s">
        <v>13</v>
      </c>
      <c r="E4" s="270" t="s">
        <v>13</v>
      </c>
    </row>
    <row r="5" spans="2:9" ht="66.650000000000006" customHeight="1" thickBot="1" x14ac:dyDescent="0.4">
      <c r="B5" s="271" t="s">
        <v>14</v>
      </c>
      <c r="C5" s="1278"/>
      <c r="D5" s="273"/>
      <c r="E5" s="274">
        <f>SUM(C5:D5)</f>
        <v>0</v>
      </c>
    </row>
    <row r="6" spans="2:9" ht="30.75" customHeight="1" thickBot="1" x14ac:dyDescent="0.4">
      <c r="B6" s="271" t="s">
        <v>15</v>
      </c>
      <c r="C6" s="272"/>
      <c r="D6" s="273"/>
      <c r="E6" s="274">
        <f t="shared" ref="E6:E7" si="0">SUM(C6:D6)</f>
        <v>0</v>
      </c>
      <c r="G6" s="107"/>
    </row>
    <row r="7" spans="2:9" ht="15" thickBot="1" x14ac:dyDescent="0.4">
      <c r="B7" s="271" t="s">
        <v>16</v>
      </c>
      <c r="C7" s="272"/>
      <c r="D7" s="275"/>
      <c r="E7" s="274">
        <f t="shared" si="0"/>
        <v>0</v>
      </c>
    </row>
    <row r="8" spans="2:9" ht="15" thickBot="1" x14ac:dyDescent="0.4">
      <c r="B8" s="276" t="s">
        <v>17</v>
      </c>
      <c r="C8" s="1278"/>
      <c r="D8" s="273"/>
      <c r="E8" s="274">
        <f>SUM(C8:D8)</f>
        <v>0</v>
      </c>
    </row>
    <row r="9" spans="2:9" ht="15" thickBot="1" x14ac:dyDescent="0.4">
      <c r="B9" s="277" t="s">
        <v>18</v>
      </c>
      <c r="C9" s="278">
        <f>+C5+C6+C7+C8</f>
        <v>0</v>
      </c>
      <c r="D9" s="278">
        <f>+D5+D6+D7+D8</f>
        <v>0</v>
      </c>
      <c r="E9" s="279">
        <f>SUM(E5:E8)</f>
        <v>0</v>
      </c>
    </row>
    <row r="10" spans="2:9" ht="15" thickBot="1" x14ac:dyDescent="0.4">
      <c r="B10" s="1626"/>
      <c r="C10" s="1627"/>
      <c r="D10" s="1627"/>
      <c r="E10" s="1628"/>
    </row>
    <row r="11" spans="2:9" ht="15" thickBot="1" x14ac:dyDescent="0.4">
      <c r="B11" s="280" t="s">
        <v>19</v>
      </c>
      <c r="C11" s="281">
        <f>SUM(C12:C16)</f>
        <v>0</v>
      </c>
      <c r="D11" s="281">
        <f>SUM(D12:D16)</f>
        <v>0</v>
      </c>
      <c r="E11" s="281">
        <f>SUM(E12:E16)</f>
        <v>0</v>
      </c>
    </row>
    <row r="12" spans="2:9" ht="15" thickBot="1" x14ac:dyDescent="0.4">
      <c r="B12" s="276" t="s">
        <v>20</v>
      </c>
      <c r="C12" s="92"/>
      <c r="D12" s="282"/>
      <c r="E12" s="281">
        <f>SUM(C12:D12)</f>
        <v>0</v>
      </c>
    </row>
    <row r="13" spans="2:9" ht="15" thickBot="1" x14ac:dyDescent="0.4">
      <c r="B13" s="276" t="s">
        <v>21</v>
      </c>
      <c r="C13" s="92"/>
      <c r="D13" s="282"/>
      <c r="E13" s="281">
        <f t="shared" ref="E13:E16" si="1">SUM(C13:D13)</f>
        <v>0</v>
      </c>
    </row>
    <row r="14" spans="2:9" ht="15" thickBot="1" x14ac:dyDescent="0.4">
      <c r="B14" s="276" t="s">
        <v>22</v>
      </c>
      <c r="C14" s="92"/>
      <c r="D14" s="282"/>
      <c r="E14" s="281">
        <f t="shared" si="1"/>
        <v>0</v>
      </c>
      <c r="I14" s="110"/>
    </row>
    <row r="15" spans="2:9" ht="15" thickBot="1" x14ac:dyDescent="0.4">
      <c r="B15" s="276" t="s">
        <v>23</v>
      </c>
      <c r="C15" s="92"/>
      <c r="D15" s="282"/>
      <c r="E15" s="281">
        <f t="shared" si="1"/>
        <v>0</v>
      </c>
    </row>
    <row r="16" spans="2:9" ht="15" thickBot="1" x14ac:dyDescent="0.4">
      <c r="B16" s="276" t="s">
        <v>24</v>
      </c>
      <c r="C16" s="1279"/>
      <c r="D16" s="93"/>
      <c r="E16" s="281">
        <f t="shared" si="1"/>
        <v>0</v>
      </c>
    </row>
    <row r="17" spans="2:5" ht="15" thickBot="1" x14ac:dyDescent="0.4">
      <c r="B17" s="283" t="s">
        <v>25</v>
      </c>
      <c r="C17" s="279">
        <f>SUM(C18:C20)</f>
        <v>0</v>
      </c>
      <c r="D17" s="279">
        <f>SUM(D18:D20)</f>
        <v>0</v>
      </c>
      <c r="E17" s="279">
        <f>SUM(E18:E20)</f>
        <v>0</v>
      </c>
    </row>
    <row r="18" spans="2:5" ht="15" thickBot="1" x14ac:dyDescent="0.4">
      <c r="B18" s="276" t="s">
        <v>26</v>
      </c>
      <c r="C18" s="92"/>
      <c r="D18" s="282"/>
      <c r="E18" s="274">
        <f>SUM(C18:D18)</f>
        <v>0</v>
      </c>
    </row>
    <row r="19" spans="2:5" ht="15" thickBot="1" x14ac:dyDescent="0.4">
      <c r="B19" s="276" t="s">
        <v>27</v>
      </c>
      <c r="C19" s="272"/>
      <c r="D19" s="275"/>
      <c r="E19" s="274">
        <f t="shared" ref="E19" si="2">SUM(C19:D19)</f>
        <v>0</v>
      </c>
    </row>
    <row r="20" spans="2:5" ht="15" thickBot="1" x14ac:dyDescent="0.4">
      <c r="B20" s="276" t="s">
        <v>28</v>
      </c>
      <c r="C20" s="1278"/>
      <c r="D20" s="273"/>
      <c r="E20" s="274">
        <f>SUM(C20:D20)</f>
        <v>0</v>
      </c>
    </row>
    <row r="21" spans="2:5" ht="15" thickBot="1" x14ac:dyDescent="0.4">
      <c r="B21" s="284" t="s">
        <v>29</v>
      </c>
      <c r="C21" s="285">
        <f>C22+C23</f>
        <v>0</v>
      </c>
      <c r="D21" s="285">
        <f>D22+D23</f>
        <v>0</v>
      </c>
      <c r="E21" s="285">
        <f>E22+E23</f>
        <v>0</v>
      </c>
    </row>
    <row r="22" spans="2:5" ht="15" thickBot="1" x14ac:dyDescent="0.4">
      <c r="B22" s="276" t="s">
        <v>30</v>
      </c>
      <c r="C22" s="1280"/>
      <c r="D22" s="286"/>
      <c r="E22" s="274">
        <f>C22+D22</f>
        <v>0</v>
      </c>
    </row>
    <row r="23" spans="2:5" ht="15" thickBot="1" x14ac:dyDescent="0.4">
      <c r="B23" s="276" t="s">
        <v>31</v>
      </c>
      <c r="C23" s="1281"/>
      <c r="D23" s="287"/>
      <c r="E23" s="274">
        <f>C23+D23</f>
        <v>0</v>
      </c>
    </row>
    <row r="24" spans="2:5" ht="15" thickBot="1" x14ac:dyDescent="0.4">
      <c r="B24" s="300" t="s">
        <v>32</v>
      </c>
      <c r="C24" s="278">
        <f>C21+C17+C11</f>
        <v>0</v>
      </c>
      <c r="D24" s="278">
        <f>D21+D17+D11</f>
        <v>0</v>
      </c>
      <c r="E24" s="278">
        <f>E21+E17+E11</f>
        <v>0</v>
      </c>
    </row>
  </sheetData>
  <mergeCells count="3">
    <mergeCell ref="C2:D2"/>
    <mergeCell ref="B3:B4"/>
    <mergeCell ref="B10:E10"/>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78FC2-9161-4FC5-B5A3-F97D2C1C6987}">
  <sheetPr codeName="Foglio3">
    <tabColor rgb="FF92D050"/>
  </sheetPr>
  <dimension ref="A2:AF190"/>
  <sheetViews>
    <sheetView topLeftCell="L2" zoomScale="50" zoomScaleNormal="50" workbookViewId="0">
      <selection activeCell="D20" sqref="D20"/>
    </sheetView>
  </sheetViews>
  <sheetFormatPr defaultColWidth="0" defaultRowHeight="20.149999999999999" customHeight="1" x14ac:dyDescent="0.2"/>
  <cols>
    <col min="1" max="1" width="6.81640625" style="51" customWidth="1"/>
    <col min="2" max="2" width="49.1796875" style="51" customWidth="1"/>
    <col min="3" max="3" width="21.7265625" style="51" customWidth="1"/>
    <col min="4" max="6" width="15.54296875" style="51" bestFit="1" customWidth="1"/>
    <col min="7" max="7" width="17.7265625" style="51" bestFit="1" customWidth="1"/>
    <col min="8" max="8" width="11.81640625" style="51" bestFit="1" customWidth="1"/>
    <col min="9" max="9" width="24.7265625" style="51" customWidth="1"/>
    <col min="10" max="10" width="13.26953125" style="51" customWidth="1"/>
    <col min="11" max="11" width="21.1796875" style="51" customWidth="1"/>
    <col min="12" max="12" width="8.7265625" style="51" customWidth="1"/>
    <col min="13" max="13" width="43.7265625" style="51" bestFit="1" customWidth="1"/>
    <col min="14" max="14" width="40.54296875" style="51" customWidth="1"/>
    <col min="15" max="15" width="25.453125" style="51" bestFit="1" customWidth="1"/>
    <col min="16" max="17" width="29.453125" style="51" bestFit="1" customWidth="1"/>
    <col min="18" max="18" width="16" style="51" customWidth="1"/>
    <col min="19" max="19" width="13.7265625" style="51" bestFit="1" customWidth="1"/>
    <col min="20" max="20" width="24.1796875" style="51" bestFit="1" customWidth="1"/>
    <col min="21" max="21" width="6.7265625" style="51" bestFit="1" customWidth="1"/>
    <col min="22" max="22" width="12.7265625" style="51" bestFit="1" customWidth="1"/>
    <col min="23" max="23" width="6.7265625" style="51" bestFit="1" customWidth="1"/>
    <col min="24" max="24" width="10.54296875" style="51" bestFit="1" customWidth="1"/>
    <col min="25" max="31" width="40.54296875" style="51" customWidth="1"/>
    <col min="32" max="32" width="8.7265625" style="51" customWidth="1"/>
    <col min="33" max="16384" width="8.7265625" style="51" hidden="1"/>
  </cols>
  <sheetData>
    <row r="2" spans="2:31" s="169" customFormat="1" ht="20.149999999999999" customHeight="1" x14ac:dyDescent="0.2">
      <c r="B2" s="169" t="s">
        <v>33</v>
      </c>
      <c r="C2" s="169" t="str">
        <f>IF('Dati riepilogativi'!B2="CAPO II","X","")</f>
        <v/>
      </c>
    </row>
    <row r="3" spans="2:31" s="169" customFormat="1" ht="20.149999999999999" customHeight="1" x14ac:dyDescent="0.2"/>
    <row r="4" spans="2:31" s="169" customFormat="1" ht="20.149999999999999" customHeight="1" x14ac:dyDescent="0.2">
      <c r="B4" s="169" t="s">
        <v>34</v>
      </c>
      <c r="C4" s="169" t="str">
        <f>IF('Dati riepilogativi'!B2="CAPO III","X","")</f>
        <v>X</v>
      </c>
    </row>
    <row r="5" spans="2:31" s="169" customFormat="1" ht="20.149999999999999" customHeight="1" x14ac:dyDescent="0.2"/>
    <row r="6" spans="2:31" s="169" customFormat="1" ht="20.149999999999999" customHeight="1" x14ac:dyDescent="0.2">
      <c r="B6" s="169" t="s">
        <v>3</v>
      </c>
      <c r="C6" s="169">
        <f>'Dati riepilogativi'!B3</f>
        <v>0</v>
      </c>
    </row>
    <row r="7" spans="2:31" s="169" customFormat="1" ht="20.149999999999999" customHeight="1" x14ac:dyDescent="0.2"/>
    <row r="8" spans="2:31" s="169" customFormat="1" ht="20.149999999999999" customHeight="1" x14ac:dyDescent="0.2">
      <c r="B8" s="169" t="s">
        <v>4</v>
      </c>
      <c r="C8" s="170">
        <f>'Dati riepilogativi'!B4</f>
        <v>0</v>
      </c>
    </row>
    <row r="9" spans="2:31" s="169" customFormat="1" ht="20.149999999999999" customHeight="1" thickBot="1" x14ac:dyDescent="0.25">
      <c r="B9" s="169" t="s">
        <v>5</v>
      </c>
      <c r="C9" s="170">
        <f>+'Dati riepilogativi'!B5</f>
        <v>0</v>
      </c>
    </row>
    <row r="10" spans="2:31" ht="20.149999999999999" customHeight="1" thickBot="1" x14ac:dyDescent="0.25">
      <c r="B10" s="171" t="s">
        <v>35</v>
      </c>
      <c r="C10" s="172">
        <v>5</v>
      </c>
      <c r="N10" s="1633" t="str">
        <f>IF(C4&lt;&gt;"","Compilare il conto economico rappresentando in maniera unitaria la società nelle colonne ''SOCIETA' '' e rappresentare le variazioni positive e/o negative attese dal progetto presentato a finanziamento nella colonna ''Δ PROGETTO''","")</f>
        <v>Compilare il conto economico rappresentando in maniera unitaria la società nelle colonne ''SOCIETA' '' e rappresentare le variazioni positive e/o negative attese dal progetto presentato a finanziamento nella colonna ''Δ PROGETTO''</v>
      </c>
      <c r="O10" s="1633"/>
      <c r="P10" s="1633"/>
      <c r="Q10" s="1633"/>
      <c r="R10" s="1633"/>
      <c r="S10" s="1633"/>
      <c r="T10" s="1633"/>
      <c r="U10" s="1633"/>
      <c r="V10" s="1633"/>
    </row>
    <row r="11" spans="2:31" ht="20.149999999999999" customHeight="1" x14ac:dyDescent="0.2">
      <c r="N11" s="1633"/>
      <c r="O11" s="1633"/>
      <c r="P11" s="1633"/>
      <c r="Q11" s="1633"/>
      <c r="R11" s="1633"/>
      <c r="S11" s="1633"/>
      <c r="T11" s="1633"/>
      <c r="U11" s="1633"/>
      <c r="V11" s="1633"/>
    </row>
    <row r="12" spans="2:31" ht="20.149999999999999" customHeight="1" x14ac:dyDescent="0.2">
      <c r="N12" s="1633"/>
      <c r="O12" s="1633"/>
      <c r="P12" s="1633"/>
      <c r="Q12" s="1633"/>
      <c r="R12" s="1633"/>
      <c r="S12" s="1633"/>
      <c r="T12" s="1633"/>
      <c r="U12" s="1633"/>
      <c r="V12" s="1633"/>
    </row>
    <row r="13" spans="2:31" ht="20.149999999999999" customHeight="1" x14ac:dyDescent="0.2">
      <c r="C13" s="173" t="str">
        <f>IF(C15&lt;&gt;"",CONCATENATE("ANNO t",C15),"")</f>
        <v>ANNO t0</v>
      </c>
      <c r="D13" s="173" t="str">
        <f t="shared" ref="D13:K13" si="0">IF(D15&lt;&gt;"",CONCATENATE("ANNO t",D15),"")</f>
        <v>ANNO t1</v>
      </c>
      <c r="E13" s="173" t="str">
        <f t="shared" si="0"/>
        <v>ANNO t2</v>
      </c>
      <c r="F13" s="173" t="str">
        <f t="shared" si="0"/>
        <v>ANNO t3</v>
      </c>
      <c r="G13" s="173" t="str">
        <f t="shared" si="0"/>
        <v>ANNO t4</v>
      </c>
      <c r="H13" s="173" t="str">
        <f t="shared" si="0"/>
        <v>ANNO t5</v>
      </c>
      <c r="I13" s="173" t="str">
        <f t="shared" si="0"/>
        <v/>
      </c>
      <c r="J13" s="173" t="str">
        <f t="shared" si="0"/>
        <v/>
      </c>
      <c r="K13" s="173" t="str">
        <f t="shared" si="0"/>
        <v/>
      </c>
      <c r="N13" s="169"/>
      <c r="O13" s="169">
        <f>+N14</f>
        <v>0</v>
      </c>
      <c r="P13" s="169"/>
      <c r="Q13" s="169">
        <f>+P14</f>
        <v>1</v>
      </c>
      <c r="R13" s="169"/>
      <c r="S13" s="169">
        <f t="shared" ref="S13:AC13" si="1">+R14</f>
        <v>2</v>
      </c>
      <c r="T13" s="169"/>
      <c r="U13" s="169">
        <f t="shared" si="1"/>
        <v>3</v>
      </c>
      <c r="V13" s="169"/>
      <c r="W13" s="169">
        <f t="shared" si="1"/>
        <v>4</v>
      </c>
      <c r="X13" s="169"/>
      <c r="Y13" s="169">
        <f t="shared" si="1"/>
        <v>5</v>
      </c>
      <c r="Z13" s="169"/>
      <c r="AA13" s="169" t="str">
        <f t="shared" si="1"/>
        <v/>
      </c>
      <c r="AB13" s="169"/>
      <c r="AC13" s="169" t="str">
        <f t="shared" si="1"/>
        <v/>
      </c>
      <c r="AD13" s="169"/>
      <c r="AE13" s="169" t="str">
        <f t="shared" ref="AE13" si="2">+AD14</f>
        <v/>
      </c>
    </row>
    <row r="14" spans="2:31" ht="20.149999999999999" customHeight="1" x14ac:dyDescent="0.2">
      <c r="C14" s="169">
        <f>IF((YEAR(C8)-YEAR(C9))&gt;3,3,(YEAR(C8)-YEAR(C9)))</f>
        <v>0</v>
      </c>
      <c r="D14" s="169"/>
      <c r="E14" s="169"/>
      <c r="F14" s="169"/>
      <c r="G14" s="169"/>
      <c r="H14" s="169"/>
      <c r="I14" s="169"/>
      <c r="J14" s="169"/>
      <c r="K14" s="169"/>
      <c r="N14" s="169">
        <f>+C15</f>
        <v>0</v>
      </c>
      <c r="O14" s="169"/>
      <c r="P14" s="169">
        <f>+D15</f>
        <v>1</v>
      </c>
      <c r="Q14" s="169"/>
      <c r="R14" s="169">
        <f>+E15</f>
        <v>2</v>
      </c>
      <c r="S14" s="169"/>
      <c r="T14" s="169">
        <f>+F15</f>
        <v>3</v>
      </c>
      <c r="U14" s="169"/>
      <c r="V14" s="169">
        <f>+G15</f>
        <v>4</v>
      </c>
      <c r="W14" s="169"/>
      <c r="X14" s="169">
        <f>+H15</f>
        <v>5</v>
      </c>
      <c r="Y14" s="169"/>
      <c r="Z14" s="169" t="str">
        <f>+I15</f>
        <v/>
      </c>
      <c r="AA14" s="169"/>
      <c r="AB14" s="169" t="str">
        <f>+J15</f>
        <v/>
      </c>
      <c r="AC14" s="169"/>
      <c r="AD14" s="169" t="str">
        <f>+K15</f>
        <v/>
      </c>
      <c r="AE14" s="169"/>
    </row>
    <row r="15" spans="2:31" ht="20.149999999999999" customHeight="1" thickBot="1" x14ac:dyDescent="0.25">
      <c r="C15" s="169">
        <f>-C14</f>
        <v>0</v>
      </c>
      <c r="D15" s="169">
        <f>IFERROR(IF((C15+1)&gt;$C$10,"",C15+1),"")</f>
        <v>1</v>
      </c>
      <c r="E15" s="174">
        <f t="shared" ref="E15:K15" si="3">IFERROR(IF((D15+1)&gt;$C$10,"",D15+1),"")</f>
        <v>2</v>
      </c>
      <c r="F15" s="174">
        <f t="shared" si="3"/>
        <v>3</v>
      </c>
      <c r="G15" s="169">
        <f t="shared" si="3"/>
        <v>4</v>
      </c>
      <c r="H15" s="169">
        <f t="shared" si="3"/>
        <v>5</v>
      </c>
      <c r="I15" s="169" t="str">
        <f t="shared" si="3"/>
        <v/>
      </c>
      <c r="J15" s="169" t="str">
        <f t="shared" si="3"/>
        <v/>
      </c>
      <c r="K15" s="169" t="str">
        <f t="shared" si="3"/>
        <v/>
      </c>
      <c r="N15" s="173" t="s">
        <v>36</v>
      </c>
      <c r="O15" s="173" t="str">
        <f>IF($C$2=0,"Δ PROGETTO","")</f>
        <v/>
      </c>
      <c r="P15" s="173" t="s">
        <v>36</v>
      </c>
      <c r="Q15" s="173" t="str">
        <f>IF($C$2=0,"Δ PROGETTO","")</f>
        <v/>
      </c>
      <c r="R15" s="173" t="s">
        <v>36</v>
      </c>
      <c r="S15" s="173" t="str">
        <f>IF($C$2=0,"Δ PROGETTO","")</f>
        <v/>
      </c>
      <c r="T15" s="173" t="s">
        <v>36</v>
      </c>
      <c r="U15" s="173" t="str">
        <f>IF($C$2="","Δ PROGETTO","")</f>
        <v>Δ PROGETTO</v>
      </c>
      <c r="V15" s="173" t="str">
        <f>+IF(V14="","","SOCIETA'")</f>
        <v>SOCIETA'</v>
      </c>
      <c r="W15" s="173" t="str">
        <f>IF($C$2="","Δ PROGETTO","")</f>
        <v>Δ PROGETTO</v>
      </c>
      <c r="X15" s="173" t="str">
        <f>+IF(X14="","","SOCIETA'")</f>
        <v>SOCIETA'</v>
      </c>
      <c r="Y15" s="173" t="str">
        <f>IF(X14="","",IF($C$2="","Δ PROGETTO",""))</f>
        <v>Δ PROGETTO</v>
      </c>
      <c r="Z15" s="173" t="str">
        <f>+IF(Z14="","","SOCIETA'")</f>
        <v/>
      </c>
      <c r="AA15" s="173" t="str">
        <f>IF(Z14="","",IF($C$2="","Δ PROGETTO",""))</f>
        <v/>
      </c>
      <c r="AB15" s="173" t="str">
        <f>+IF(AB14="","","SOCIETA'")</f>
        <v/>
      </c>
      <c r="AC15" s="173" t="str">
        <f>IF(AB14="","",IF($C$2="","Δ PROGETTO",""))</f>
        <v/>
      </c>
      <c r="AD15" s="173" t="str">
        <f>+IF(AD14="","","SOCIETA'")</f>
        <v/>
      </c>
      <c r="AE15" s="173" t="str">
        <f>IF(AD14="","",IF($C$2="","Δ PROGETTO",""))</f>
        <v/>
      </c>
    </row>
    <row r="16" spans="2:31" ht="20.149999999999999" customHeight="1" thickBot="1" x14ac:dyDescent="0.35">
      <c r="B16" s="175" t="s">
        <v>37</v>
      </c>
      <c r="C16" s="176">
        <f>+C17+C18+C39+C47</f>
        <v>0</v>
      </c>
      <c r="D16" s="177">
        <f t="shared" ref="D16:K16" si="4">+D17+D18+D39+D47</f>
        <v>0</v>
      </c>
      <c r="E16" s="177">
        <f t="shared" si="4"/>
        <v>0</v>
      </c>
      <c r="F16" s="178">
        <f t="shared" si="4"/>
        <v>0</v>
      </c>
      <c r="G16" s="177">
        <f t="shared" si="4"/>
        <v>0</v>
      </c>
      <c r="H16" s="177">
        <f t="shared" si="4"/>
        <v>0</v>
      </c>
      <c r="I16" s="177">
        <f t="shared" si="4"/>
        <v>0</v>
      </c>
      <c r="J16" s="177">
        <f t="shared" si="4"/>
        <v>0</v>
      </c>
      <c r="K16" s="177">
        <f t="shared" si="4"/>
        <v>0</v>
      </c>
      <c r="M16" s="175" t="s">
        <v>38</v>
      </c>
      <c r="N16" s="1629" t="str">
        <f>IF(N14&lt;&gt;"",CONCATENATE("ANNO ",N14),"")</f>
        <v>ANNO 0</v>
      </c>
      <c r="O16" s="1629"/>
      <c r="P16" s="1629" t="str">
        <f t="shared" ref="P16" si="5">IF(P14&lt;&gt;"",CONCATENATE("ANNO ",P14),"")</f>
        <v>ANNO 1</v>
      </c>
      <c r="Q16" s="1629"/>
      <c r="R16" s="1629" t="str">
        <f t="shared" ref="R16" si="6">IF(R14&lt;&gt;"",CONCATENATE("ANNO ",R14),"")</f>
        <v>ANNO 2</v>
      </c>
      <c r="S16" s="1629"/>
      <c r="T16" s="1629" t="str">
        <f t="shared" ref="T16" si="7">IF(T14&lt;&gt;"",CONCATENATE("ANNO ",T14),"")</f>
        <v>ANNO 3</v>
      </c>
      <c r="U16" s="1629"/>
      <c r="V16" s="1629" t="str">
        <f t="shared" ref="V16" si="8">IF(V14&lt;&gt;"",CONCATENATE("ANNO ",V14),"")</f>
        <v>ANNO 4</v>
      </c>
      <c r="W16" s="1629"/>
      <c r="X16" s="1629" t="str">
        <f t="shared" ref="X16" si="9">IF(X14&lt;&gt;"",CONCATENATE("ANNO ",X14),"")</f>
        <v>ANNO 5</v>
      </c>
      <c r="Y16" s="1629"/>
      <c r="Z16" s="1629" t="str">
        <f t="shared" ref="Z16" si="10">IF(Z14&lt;&gt;"",CONCATENATE("ANNO ",Z14),"")</f>
        <v/>
      </c>
      <c r="AA16" s="1629"/>
      <c r="AB16" s="1629" t="str">
        <f t="shared" ref="AB16" si="11">IF(AB14&lt;&gt;"",CONCATENATE("ANNO ",AB14),"")</f>
        <v/>
      </c>
      <c r="AC16" s="1629"/>
      <c r="AD16" s="1629" t="str">
        <f t="shared" ref="AD16" si="12">IF(AD14&lt;&gt;"",CONCATENATE("ANNO ",AD14),"")</f>
        <v/>
      </c>
      <c r="AE16" s="1629"/>
    </row>
    <row r="17" spans="2:31" ht="20.149999999999999" customHeight="1" x14ac:dyDescent="0.35">
      <c r="B17" s="179" t="s">
        <v>39</v>
      </c>
      <c r="C17" s="288"/>
      <c r="D17" s="289"/>
      <c r="E17" s="289"/>
      <c r="F17" s="289"/>
      <c r="G17" s="289"/>
      <c r="H17" s="289"/>
      <c r="I17" s="289"/>
      <c r="J17" s="289"/>
      <c r="K17" s="289"/>
      <c r="M17" s="179" t="s">
        <v>40</v>
      </c>
      <c r="N17" s="180">
        <f>+N18+N19+N20</f>
        <v>0</v>
      </c>
      <c r="O17" s="181">
        <f>+O18+O19+O20</f>
        <v>0</v>
      </c>
      <c r="P17" s="182">
        <f t="shared" ref="P17:AC17" si="13">+P18+P19+P20</f>
        <v>0</v>
      </c>
      <c r="Q17" s="181">
        <f t="shared" si="13"/>
        <v>0</v>
      </c>
      <c r="R17" s="182">
        <f t="shared" si="13"/>
        <v>0</v>
      </c>
      <c r="S17" s="181">
        <f t="shared" si="13"/>
        <v>0</v>
      </c>
      <c r="T17" s="182">
        <f t="shared" si="13"/>
        <v>0</v>
      </c>
      <c r="U17" s="181">
        <f t="shared" si="13"/>
        <v>0</v>
      </c>
      <c r="V17" s="182">
        <f t="shared" si="13"/>
        <v>0</v>
      </c>
      <c r="W17" s="181">
        <f t="shared" si="13"/>
        <v>0</v>
      </c>
      <c r="X17" s="182">
        <f t="shared" si="13"/>
        <v>0</v>
      </c>
      <c r="Y17" s="181">
        <f t="shared" si="13"/>
        <v>0</v>
      </c>
      <c r="Z17" s="182">
        <f t="shared" si="13"/>
        <v>0</v>
      </c>
      <c r="AA17" s="181">
        <f t="shared" si="13"/>
        <v>0</v>
      </c>
      <c r="AB17" s="182">
        <f t="shared" si="13"/>
        <v>0</v>
      </c>
      <c r="AC17" s="181">
        <f t="shared" si="13"/>
        <v>0</v>
      </c>
      <c r="AD17" s="182">
        <f t="shared" ref="AD17:AE17" si="14">+AD18+AD19+AD20</f>
        <v>0</v>
      </c>
      <c r="AE17" s="181">
        <f t="shared" si="14"/>
        <v>0</v>
      </c>
    </row>
    <row r="18" spans="2:31" ht="20.149999999999999" customHeight="1" x14ac:dyDescent="0.35">
      <c r="B18" s="183" t="s">
        <v>41</v>
      </c>
      <c r="C18" s="184">
        <f>+C19+C27+C33</f>
        <v>0</v>
      </c>
      <c r="D18" s="185">
        <f t="shared" ref="D18:K18" si="15">+D19+D27+D33</f>
        <v>0</v>
      </c>
      <c r="E18" s="185">
        <f t="shared" si="15"/>
        <v>0</v>
      </c>
      <c r="F18" s="185">
        <f t="shared" si="15"/>
        <v>0</v>
      </c>
      <c r="G18" s="185">
        <f t="shared" si="15"/>
        <v>0</v>
      </c>
      <c r="H18" s="185">
        <f t="shared" si="15"/>
        <v>0</v>
      </c>
      <c r="I18" s="185">
        <f t="shared" si="15"/>
        <v>0</v>
      </c>
      <c r="J18" s="185">
        <f t="shared" si="15"/>
        <v>0</v>
      </c>
      <c r="K18" s="185">
        <f t="shared" si="15"/>
        <v>0</v>
      </c>
      <c r="M18" s="186" t="s">
        <v>42</v>
      </c>
      <c r="N18" s="290"/>
      <c r="O18" s="187"/>
      <c r="P18" s="188"/>
      <c r="Q18" s="187"/>
      <c r="R18" s="188"/>
      <c r="S18" s="187"/>
      <c r="T18" s="1282"/>
      <c r="U18" s="187"/>
      <c r="V18" s="188"/>
      <c r="W18" s="187"/>
      <c r="X18" s="188"/>
      <c r="Y18" s="187"/>
      <c r="Z18" s="188"/>
      <c r="AA18" s="187"/>
      <c r="AB18" s="188"/>
      <c r="AC18" s="187"/>
      <c r="AD18" s="188"/>
      <c r="AE18" s="187"/>
    </row>
    <row r="19" spans="2:31" ht="20.149999999999999" customHeight="1" x14ac:dyDescent="0.35">
      <c r="B19" s="186" t="s">
        <v>43</v>
      </c>
      <c r="C19" s="189">
        <f>SUM(C20:C26)</f>
        <v>0</v>
      </c>
      <c r="D19" s="190">
        <f t="shared" ref="D19:K19" si="16">SUM(D20:D26)</f>
        <v>0</v>
      </c>
      <c r="E19" s="190">
        <f t="shared" si="16"/>
        <v>0</v>
      </c>
      <c r="F19" s="190">
        <f t="shared" si="16"/>
        <v>0</v>
      </c>
      <c r="G19" s="190">
        <f t="shared" si="16"/>
        <v>0</v>
      </c>
      <c r="H19" s="190">
        <f t="shared" si="16"/>
        <v>0</v>
      </c>
      <c r="I19" s="190">
        <f t="shared" si="16"/>
        <v>0</v>
      </c>
      <c r="J19" s="190">
        <f t="shared" si="16"/>
        <v>0</v>
      </c>
      <c r="K19" s="190">
        <f t="shared" si="16"/>
        <v>0</v>
      </c>
      <c r="M19" s="191" t="s">
        <v>44</v>
      </c>
      <c r="N19" s="290"/>
      <c r="O19" s="187"/>
      <c r="P19" s="188"/>
      <c r="Q19" s="187"/>
      <c r="R19" s="188"/>
      <c r="S19" s="187"/>
      <c r="T19" s="1282"/>
      <c r="U19" s="187"/>
      <c r="V19" s="188"/>
      <c r="W19" s="187"/>
      <c r="X19" s="188"/>
      <c r="Y19" s="187"/>
      <c r="Z19" s="188"/>
      <c r="AA19" s="187"/>
      <c r="AB19" s="188"/>
      <c r="AC19" s="187"/>
      <c r="AD19" s="188"/>
      <c r="AE19" s="187"/>
    </row>
    <row r="20" spans="2:31" ht="20.149999999999999" customHeight="1" x14ac:dyDescent="0.35">
      <c r="B20" s="186" t="s">
        <v>45</v>
      </c>
      <c r="C20" s="288"/>
      <c r="D20" s="289"/>
      <c r="E20" s="289"/>
      <c r="F20" s="1283"/>
      <c r="G20" s="289"/>
      <c r="H20" s="289"/>
      <c r="I20" s="289"/>
      <c r="J20" s="289"/>
      <c r="K20" s="289"/>
      <c r="M20" s="186" t="s">
        <v>46</v>
      </c>
      <c r="N20" s="290"/>
      <c r="O20" s="187"/>
      <c r="P20" s="188"/>
      <c r="Q20" s="187"/>
      <c r="R20" s="188"/>
      <c r="S20" s="187"/>
      <c r="T20" s="1282"/>
      <c r="U20" s="187"/>
      <c r="V20" s="188"/>
      <c r="W20" s="187"/>
      <c r="X20" s="188"/>
      <c r="Y20" s="187"/>
      <c r="Z20" s="188"/>
      <c r="AA20" s="187"/>
      <c r="AB20" s="188"/>
      <c r="AC20" s="187"/>
      <c r="AD20" s="188"/>
      <c r="AE20" s="187"/>
    </row>
    <row r="21" spans="2:31" ht="20.149999999999999" customHeight="1" x14ac:dyDescent="0.35">
      <c r="B21" s="192" t="s">
        <v>47</v>
      </c>
      <c r="C21" s="288"/>
      <c r="D21" s="289"/>
      <c r="E21" s="289"/>
      <c r="F21" s="1283"/>
      <c r="G21" s="289"/>
      <c r="H21" s="289"/>
      <c r="I21" s="289"/>
      <c r="J21" s="289"/>
      <c r="K21" s="289"/>
      <c r="M21" s="193" t="s">
        <v>48</v>
      </c>
      <c r="N21" s="194">
        <f>+N22+N23+N24+N25+N26+N27+N28+N29</f>
        <v>0</v>
      </c>
      <c r="O21" s="195">
        <f>+O22+O23+O24+O25+O26+O27+O28+O29</f>
        <v>0</v>
      </c>
      <c r="P21" s="196">
        <f t="shared" ref="P21:AC21" si="17">+P22+P23+P24+P25+P26+P27+P28+P29</f>
        <v>0</v>
      </c>
      <c r="Q21" s="195">
        <f t="shared" si="17"/>
        <v>0</v>
      </c>
      <c r="R21" s="196">
        <f t="shared" si="17"/>
        <v>0</v>
      </c>
      <c r="S21" s="195">
        <f t="shared" si="17"/>
        <v>0</v>
      </c>
      <c r="T21" s="196">
        <f t="shared" si="17"/>
        <v>0</v>
      </c>
      <c r="U21" s="195">
        <f t="shared" si="17"/>
        <v>0</v>
      </c>
      <c r="V21" s="196">
        <f t="shared" si="17"/>
        <v>0</v>
      </c>
      <c r="W21" s="195">
        <f t="shared" si="17"/>
        <v>0</v>
      </c>
      <c r="X21" s="196">
        <f t="shared" si="17"/>
        <v>0</v>
      </c>
      <c r="Y21" s="195">
        <f t="shared" si="17"/>
        <v>0</v>
      </c>
      <c r="Z21" s="196">
        <f t="shared" si="17"/>
        <v>0</v>
      </c>
      <c r="AA21" s="195">
        <f t="shared" si="17"/>
        <v>0</v>
      </c>
      <c r="AB21" s="196">
        <f t="shared" si="17"/>
        <v>0</v>
      </c>
      <c r="AC21" s="195">
        <f t="shared" si="17"/>
        <v>0</v>
      </c>
      <c r="AD21" s="196">
        <f t="shared" ref="AD21:AE21" si="18">+AD22+AD23+AD24+AD25+AD26+AD27+AD28+AD29</f>
        <v>0</v>
      </c>
      <c r="AE21" s="195">
        <f t="shared" si="18"/>
        <v>0</v>
      </c>
    </row>
    <row r="22" spans="2:31" ht="20.149999999999999" customHeight="1" x14ac:dyDescent="0.35">
      <c r="B22" s="192" t="s">
        <v>49</v>
      </c>
      <c r="C22" s="288"/>
      <c r="D22" s="289"/>
      <c r="E22" s="1284"/>
      <c r="F22" s="1283"/>
      <c r="G22" s="289"/>
      <c r="H22" s="289"/>
      <c r="I22" s="289"/>
      <c r="J22" s="289"/>
      <c r="K22" s="289"/>
      <c r="M22" s="192" t="s">
        <v>50</v>
      </c>
      <c r="N22" s="290"/>
      <c r="O22" s="187"/>
      <c r="P22" s="188"/>
      <c r="Q22" s="187"/>
      <c r="R22" s="188"/>
      <c r="S22" s="187"/>
      <c r="T22" s="1282"/>
      <c r="U22" s="187"/>
      <c r="V22" s="188"/>
      <c r="W22" s="187"/>
      <c r="X22" s="188"/>
      <c r="Y22" s="187"/>
      <c r="Z22" s="188"/>
      <c r="AA22" s="187"/>
      <c r="AB22" s="188"/>
      <c r="AC22" s="187"/>
      <c r="AD22" s="188"/>
      <c r="AE22" s="187"/>
    </row>
    <row r="23" spans="2:31" ht="20.149999999999999" customHeight="1" x14ac:dyDescent="0.35">
      <c r="B23" s="192" t="s">
        <v>51</v>
      </c>
      <c r="C23" s="288"/>
      <c r="D23" s="289"/>
      <c r="E23" s="289"/>
      <c r="F23" s="289"/>
      <c r="G23" s="289"/>
      <c r="H23" s="289"/>
      <c r="I23" s="289"/>
      <c r="J23" s="289"/>
      <c r="K23" s="289"/>
      <c r="M23" s="192" t="s">
        <v>52</v>
      </c>
      <c r="N23" s="290"/>
      <c r="O23" s="187"/>
      <c r="P23" s="188"/>
      <c r="Q23" s="187"/>
      <c r="R23" s="188"/>
      <c r="S23" s="187"/>
      <c r="T23" s="1282"/>
      <c r="U23" s="187"/>
      <c r="V23" s="188"/>
      <c r="W23" s="187"/>
      <c r="X23" s="188"/>
      <c r="Y23" s="187"/>
      <c r="Z23" s="188"/>
      <c r="AA23" s="187"/>
      <c r="AB23" s="188"/>
      <c r="AC23" s="187"/>
      <c r="AD23" s="188"/>
      <c r="AE23" s="187"/>
    </row>
    <row r="24" spans="2:31" ht="20.149999999999999" customHeight="1" x14ac:dyDescent="0.35">
      <c r="B24" s="192" t="s">
        <v>53</v>
      </c>
      <c r="C24" s="288"/>
      <c r="D24" s="289"/>
      <c r="E24" s="289"/>
      <c r="F24" s="289"/>
      <c r="G24" s="289"/>
      <c r="H24" s="289"/>
      <c r="I24" s="289"/>
      <c r="J24" s="289"/>
      <c r="K24" s="289"/>
      <c r="M24" s="192" t="s">
        <v>54</v>
      </c>
      <c r="N24" s="290"/>
      <c r="O24" s="187"/>
      <c r="P24" s="188"/>
      <c r="Q24" s="187"/>
      <c r="R24" s="188"/>
      <c r="S24" s="187"/>
      <c r="T24" s="1282"/>
      <c r="U24" s="187"/>
      <c r="V24" s="188"/>
      <c r="W24" s="187"/>
      <c r="X24" s="188"/>
      <c r="Y24" s="187"/>
      <c r="Z24" s="188"/>
      <c r="AA24" s="187"/>
      <c r="AB24" s="188"/>
      <c r="AC24" s="187"/>
      <c r="AD24" s="188"/>
      <c r="AE24" s="187"/>
    </row>
    <row r="25" spans="2:31" ht="20.149999999999999" customHeight="1" x14ac:dyDescent="0.35">
      <c r="B25" s="192" t="s">
        <v>55</v>
      </c>
      <c r="C25" s="288"/>
      <c r="D25" s="289"/>
      <c r="E25" s="289"/>
      <c r="F25" s="289"/>
      <c r="G25" s="289"/>
      <c r="H25" s="289"/>
      <c r="I25" s="289"/>
      <c r="J25" s="289"/>
      <c r="K25" s="289"/>
      <c r="M25" s="192" t="s">
        <v>56</v>
      </c>
      <c r="N25" s="290"/>
      <c r="O25" s="187"/>
      <c r="P25" s="188"/>
      <c r="Q25" s="187"/>
      <c r="R25" s="188"/>
      <c r="S25" s="187"/>
      <c r="T25" s="1282"/>
      <c r="U25" s="187"/>
      <c r="V25" s="188"/>
      <c r="W25" s="187"/>
      <c r="X25" s="188"/>
      <c r="Y25" s="187"/>
      <c r="Z25" s="188"/>
      <c r="AA25" s="187"/>
      <c r="AB25" s="188"/>
      <c r="AC25" s="187"/>
      <c r="AD25" s="188"/>
      <c r="AE25" s="187"/>
    </row>
    <row r="26" spans="2:31" ht="20.149999999999999" customHeight="1" x14ac:dyDescent="0.35">
      <c r="B26" s="192" t="s">
        <v>57</v>
      </c>
      <c r="C26" s="288"/>
      <c r="D26" s="289"/>
      <c r="E26" s="289"/>
      <c r="F26" s="289"/>
      <c r="G26" s="289"/>
      <c r="H26" s="289"/>
      <c r="I26" s="289"/>
      <c r="J26" s="289"/>
      <c r="K26" s="289"/>
      <c r="M26" s="192" t="s">
        <v>58</v>
      </c>
      <c r="N26" s="290"/>
      <c r="O26" s="187"/>
      <c r="P26" s="188"/>
      <c r="Q26" s="187"/>
      <c r="R26" s="188"/>
      <c r="S26" s="187"/>
      <c r="T26" s="1282"/>
      <c r="U26" s="187"/>
      <c r="V26" s="188"/>
      <c r="W26" s="187"/>
      <c r="X26" s="188"/>
      <c r="Y26" s="187"/>
      <c r="Z26" s="188"/>
      <c r="AA26" s="187"/>
      <c r="AB26" s="188"/>
      <c r="AC26" s="187"/>
      <c r="AD26" s="188"/>
      <c r="AE26" s="187"/>
    </row>
    <row r="27" spans="2:31" ht="20.149999999999999" customHeight="1" x14ac:dyDescent="0.35">
      <c r="B27" s="186" t="s">
        <v>59</v>
      </c>
      <c r="C27" s="189">
        <f>+SUM(C28:C32)</f>
        <v>0</v>
      </c>
      <c r="D27" s="190">
        <f t="shared" ref="D27:H27" si="19">+SUM(D28:D32)</f>
        <v>0</v>
      </c>
      <c r="E27" s="190">
        <f t="shared" si="19"/>
        <v>0</v>
      </c>
      <c r="F27" s="190">
        <f t="shared" si="19"/>
        <v>0</v>
      </c>
      <c r="G27" s="190">
        <f t="shared" si="19"/>
        <v>0</v>
      </c>
      <c r="H27" s="190">
        <f t="shared" si="19"/>
        <v>0</v>
      </c>
      <c r="I27" s="190">
        <f t="shared" ref="I27:K27" si="20">+SUM(I28:I32)</f>
        <v>0</v>
      </c>
      <c r="J27" s="190">
        <f t="shared" si="20"/>
        <v>0</v>
      </c>
      <c r="K27" s="190">
        <f t="shared" si="20"/>
        <v>0</v>
      </c>
      <c r="M27" s="197" t="s">
        <v>60</v>
      </c>
      <c r="N27" s="290"/>
      <c r="O27" s="187"/>
      <c r="P27" s="188"/>
      <c r="Q27" s="187"/>
      <c r="R27" s="188"/>
      <c r="S27" s="187"/>
      <c r="T27" s="1282"/>
      <c r="U27" s="187"/>
      <c r="V27" s="188"/>
      <c r="W27" s="187"/>
      <c r="X27" s="188"/>
      <c r="Y27" s="187"/>
      <c r="Z27" s="188"/>
      <c r="AA27" s="187"/>
      <c r="AB27" s="188"/>
      <c r="AC27" s="187"/>
      <c r="AD27" s="188"/>
      <c r="AE27" s="187"/>
    </row>
    <row r="28" spans="2:31" ht="20.149999999999999" customHeight="1" x14ac:dyDescent="0.35">
      <c r="B28" s="192" t="s">
        <v>61</v>
      </c>
      <c r="C28" s="1284"/>
      <c r="D28" s="289"/>
      <c r="E28" s="289"/>
      <c r="F28" s="1283"/>
      <c r="G28" s="289"/>
      <c r="H28" s="289"/>
      <c r="I28" s="289"/>
      <c r="J28" s="289"/>
      <c r="K28" s="289"/>
      <c r="M28" s="197" t="s">
        <v>62</v>
      </c>
      <c r="N28" s="290"/>
      <c r="O28" s="187"/>
      <c r="P28" s="188"/>
      <c r="Q28" s="187"/>
      <c r="R28" s="188"/>
      <c r="S28" s="187"/>
      <c r="T28" s="1282"/>
      <c r="U28" s="187"/>
      <c r="V28" s="188"/>
      <c r="W28" s="187"/>
      <c r="X28" s="188"/>
      <c r="Y28" s="187"/>
      <c r="Z28" s="188"/>
      <c r="AA28" s="187"/>
      <c r="AB28" s="188"/>
      <c r="AC28" s="187"/>
      <c r="AD28" s="188"/>
      <c r="AE28" s="187"/>
    </row>
    <row r="29" spans="2:31" ht="20.149999999999999" customHeight="1" x14ac:dyDescent="0.35">
      <c r="B29" s="192" t="s">
        <v>63</v>
      </c>
      <c r="C29" s="288"/>
      <c r="D29" s="289"/>
      <c r="E29" s="289"/>
      <c r="F29" s="1283"/>
      <c r="G29" s="289"/>
      <c r="H29" s="289"/>
      <c r="I29" s="289"/>
      <c r="J29" s="289"/>
      <c r="K29" s="289"/>
      <c r="M29" s="197" t="s">
        <v>64</v>
      </c>
      <c r="N29" s="290"/>
      <c r="O29" s="187"/>
      <c r="P29" s="188"/>
      <c r="Q29" s="187"/>
      <c r="R29" s="188"/>
      <c r="S29" s="187"/>
      <c r="T29" s="1282"/>
      <c r="U29" s="187"/>
      <c r="V29" s="188"/>
      <c r="W29" s="187"/>
      <c r="X29" s="188"/>
      <c r="Y29" s="187"/>
      <c r="Z29" s="188"/>
      <c r="AA29" s="187"/>
      <c r="AB29" s="188"/>
      <c r="AC29" s="187"/>
      <c r="AD29" s="188"/>
      <c r="AE29" s="187"/>
    </row>
    <row r="30" spans="2:31" ht="20.149999999999999" customHeight="1" x14ac:dyDescent="0.35">
      <c r="B30" s="192" t="s">
        <v>65</v>
      </c>
      <c r="C30" s="288"/>
      <c r="D30" s="289"/>
      <c r="E30" s="289"/>
      <c r="F30" s="1283"/>
      <c r="G30" s="289"/>
      <c r="H30" s="289"/>
      <c r="I30" s="289"/>
      <c r="J30" s="289"/>
      <c r="K30" s="289"/>
      <c r="M30" s="193" t="s">
        <v>66</v>
      </c>
      <c r="N30" s="194">
        <f t="shared" ref="N30:AC30" si="21">+N17-N21</f>
        <v>0</v>
      </c>
      <c r="O30" s="195">
        <f t="shared" si="21"/>
        <v>0</v>
      </c>
      <c r="P30" s="196">
        <f t="shared" si="21"/>
        <v>0</v>
      </c>
      <c r="Q30" s="195">
        <f t="shared" si="21"/>
        <v>0</v>
      </c>
      <c r="R30" s="196">
        <f t="shared" si="21"/>
        <v>0</v>
      </c>
      <c r="S30" s="195">
        <f t="shared" si="21"/>
        <v>0</v>
      </c>
      <c r="T30" s="196">
        <f t="shared" si="21"/>
        <v>0</v>
      </c>
      <c r="U30" s="195">
        <f t="shared" si="21"/>
        <v>0</v>
      </c>
      <c r="V30" s="196">
        <f t="shared" si="21"/>
        <v>0</v>
      </c>
      <c r="W30" s="195">
        <f t="shared" si="21"/>
        <v>0</v>
      </c>
      <c r="X30" s="196">
        <f t="shared" si="21"/>
        <v>0</v>
      </c>
      <c r="Y30" s="195">
        <f t="shared" si="21"/>
        <v>0</v>
      </c>
      <c r="Z30" s="196">
        <f t="shared" si="21"/>
        <v>0</v>
      </c>
      <c r="AA30" s="195">
        <f t="shared" si="21"/>
        <v>0</v>
      </c>
      <c r="AB30" s="196">
        <f t="shared" si="21"/>
        <v>0</v>
      </c>
      <c r="AC30" s="195">
        <f t="shared" si="21"/>
        <v>0</v>
      </c>
      <c r="AD30" s="196">
        <f t="shared" ref="AD30:AE30" si="22">+AD17-AD21</f>
        <v>0</v>
      </c>
      <c r="AE30" s="195">
        <f t="shared" si="22"/>
        <v>0</v>
      </c>
    </row>
    <row r="31" spans="2:31" ht="20.149999999999999" customHeight="1" x14ac:dyDescent="0.35">
      <c r="B31" s="192" t="s">
        <v>67</v>
      </c>
      <c r="C31" s="288"/>
      <c r="D31" s="289"/>
      <c r="E31" s="289"/>
      <c r="F31" s="289"/>
      <c r="G31" s="289"/>
      <c r="H31" s="289"/>
      <c r="I31" s="289"/>
      <c r="J31" s="289"/>
      <c r="K31" s="289"/>
      <c r="M31" s="186" t="s">
        <v>68</v>
      </c>
      <c r="N31" s="194">
        <f>+N32-N33</f>
        <v>0</v>
      </c>
      <c r="O31" s="195">
        <f>+O32-O33</f>
        <v>0</v>
      </c>
      <c r="P31" s="196">
        <f t="shared" ref="P31:AC31" si="23">+P32-P33</f>
        <v>0</v>
      </c>
      <c r="Q31" s="195">
        <f t="shared" si="23"/>
        <v>0</v>
      </c>
      <c r="R31" s="196">
        <f t="shared" si="23"/>
        <v>0</v>
      </c>
      <c r="S31" s="195">
        <f t="shared" si="23"/>
        <v>0</v>
      </c>
      <c r="T31" s="196">
        <f t="shared" si="23"/>
        <v>0</v>
      </c>
      <c r="U31" s="195">
        <f t="shared" si="23"/>
        <v>0</v>
      </c>
      <c r="V31" s="196">
        <f t="shared" si="23"/>
        <v>0</v>
      </c>
      <c r="W31" s="195">
        <f t="shared" si="23"/>
        <v>0</v>
      </c>
      <c r="X31" s="196">
        <f t="shared" si="23"/>
        <v>0</v>
      </c>
      <c r="Y31" s="195">
        <f t="shared" si="23"/>
        <v>0</v>
      </c>
      <c r="Z31" s="196">
        <f t="shared" si="23"/>
        <v>0</v>
      </c>
      <c r="AA31" s="195">
        <f t="shared" si="23"/>
        <v>0</v>
      </c>
      <c r="AB31" s="196">
        <f t="shared" si="23"/>
        <v>0</v>
      </c>
      <c r="AC31" s="195">
        <f t="shared" si="23"/>
        <v>0</v>
      </c>
      <c r="AD31" s="196">
        <f t="shared" ref="AD31:AE31" si="24">+AD32-AD33</f>
        <v>0</v>
      </c>
      <c r="AE31" s="195">
        <f t="shared" si="24"/>
        <v>0</v>
      </c>
    </row>
    <row r="32" spans="2:31" ht="20.149999999999999" customHeight="1" x14ac:dyDescent="0.35">
      <c r="B32" s="192" t="s">
        <v>69</v>
      </c>
      <c r="C32" s="288"/>
      <c r="D32" s="289"/>
      <c r="E32" s="289"/>
      <c r="F32" s="289"/>
      <c r="G32" s="289"/>
      <c r="H32" s="289"/>
      <c r="I32" s="289"/>
      <c r="J32" s="289"/>
      <c r="K32" s="289"/>
      <c r="M32" s="192" t="s">
        <v>70</v>
      </c>
      <c r="N32" s="291"/>
      <c r="O32" s="198"/>
      <c r="P32" s="199"/>
      <c r="Q32" s="198"/>
      <c r="R32" s="199"/>
      <c r="S32" s="198"/>
      <c r="T32" s="199"/>
      <c r="U32" s="198"/>
      <c r="V32" s="199"/>
      <c r="W32" s="198"/>
      <c r="X32" s="199"/>
      <c r="Y32" s="198"/>
      <c r="Z32" s="199"/>
      <c r="AA32" s="198"/>
      <c r="AB32" s="199"/>
      <c r="AC32" s="198"/>
      <c r="AD32" s="199"/>
      <c r="AE32" s="198"/>
    </row>
    <row r="33" spans="2:31" ht="20.149999999999999" customHeight="1" x14ac:dyDescent="0.35">
      <c r="B33" s="186" t="s">
        <v>71</v>
      </c>
      <c r="C33" s="189">
        <f>+SUM(C34:C38)</f>
        <v>0</v>
      </c>
      <c r="D33" s="190">
        <f t="shared" ref="D33:K33" si="25">+SUM(D34:D38)</f>
        <v>0</v>
      </c>
      <c r="E33" s="190">
        <f t="shared" si="25"/>
        <v>0</v>
      </c>
      <c r="F33" s="190">
        <f t="shared" si="25"/>
        <v>0</v>
      </c>
      <c r="G33" s="190">
        <f t="shared" si="25"/>
        <v>0</v>
      </c>
      <c r="H33" s="190">
        <f t="shared" si="25"/>
        <v>0</v>
      </c>
      <c r="I33" s="190">
        <f t="shared" si="25"/>
        <v>0</v>
      </c>
      <c r="J33" s="190">
        <f t="shared" si="25"/>
        <v>0</v>
      </c>
      <c r="K33" s="190">
        <f t="shared" si="25"/>
        <v>0</v>
      </c>
      <c r="M33" s="192" t="s">
        <v>72</v>
      </c>
      <c r="N33" s="291"/>
      <c r="O33" s="198"/>
      <c r="P33" s="199"/>
      <c r="Q33" s="198"/>
      <c r="R33" s="1285"/>
      <c r="S33" s="198"/>
      <c r="T33" s="1285"/>
      <c r="U33" s="198"/>
      <c r="V33" s="199"/>
      <c r="W33" s="198"/>
      <c r="X33" s="199"/>
      <c r="Y33" s="198"/>
      <c r="Z33" s="199"/>
      <c r="AA33" s="198"/>
      <c r="AB33" s="199"/>
      <c r="AC33" s="198"/>
      <c r="AD33" s="199"/>
      <c r="AE33" s="198"/>
    </row>
    <row r="34" spans="2:31" ht="20.149999999999999" customHeight="1" x14ac:dyDescent="0.35">
      <c r="B34" s="186" t="s">
        <v>73</v>
      </c>
      <c r="C34" s="288"/>
      <c r="D34" s="289"/>
      <c r="E34" s="289"/>
      <c r="F34" s="289"/>
      <c r="G34" s="289"/>
      <c r="H34" s="289"/>
      <c r="I34" s="289"/>
      <c r="J34" s="289"/>
      <c r="K34" s="289"/>
      <c r="M34" s="192" t="s">
        <v>74</v>
      </c>
      <c r="N34" s="290"/>
      <c r="O34" s="187"/>
      <c r="P34" s="188"/>
      <c r="Q34" s="187"/>
      <c r="R34" s="188"/>
      <c r="S34" s="187"/>
      <c r="T34" s="188"/>
      <c r="U34" s="187"/>
      <c r="V34" s="188"/>
      <c r="W34" s="187"/>
      <c r="X34" s="188"/>
      <c r="Y34" s="187"/>
      <c r="Z34" s="188"/>
      <c r="AA34" s="187"/>
      <c r="AB34" s="188"/>
      <c r="AC34" s="187"/>
      <c r="AD34" s="188"/>
      <c r="AE34" s="187"/>
    </row>
    <row r="35" spans="2:31" ht="20.149999999999999" customHeight="1" x14ac:dyDescent="0.35">
      <c r="B35" s="186" t="s">
        <v>75</v>
      </c>
      <c r="C35" s="288"/>
      <c r="D35" s="289"/>
      <c r="E35" s="289"/>
      <c r="F35" s="289"/>
      <c r="G35" s="289"/>
      <c r="H35" s="289"/>
      <c r="I35" s="289"/>
      <c r="J35" s="289"/>
      <c r="K35" s="289"/>
      <c r="M35" s="193" t="s">
        <v>76</v>
      </c>
      <c r="N35" s="194">
        <f>N30+N31+N34</f>
        <v>0</v>
      </c>
      <c r="O35" s="195">
        <f>O30+O31+O34</f>
        <v>0</v>
      </c>
      <c r="P35" s="196">
        <f>P30+P31+P34</f>
        <v>0</v>
      </c>
      <c r="Q35" s="195">
        <f t="shared" ref="Q35:AC35" si="26">Q30+Q31+Q34</f>
        <v>0</v>
      </c>
      <c r="R35" s="196">
        <f t="shared" si="26"/>
        <v>0</v>
      </c>
      <c r="S35" s="195">
        <f t="shared" si="26"/>
        <v>0</v>
      </c>
      <c r="T35" s="196">
        <f t="shared" si="26"/>
        <v>0</v>
      </c>
      <c r="U35" s="195">
        <f t="shared" si="26"/>
        <v>0</v>
      </c>
      <c r="V35" s="196">
        <f t="shared" si="26"/>
        <v>0</v>
      </c>
      <c r="W35" s="195">
        <f t="shared" si="26"/>
        <v>0</v>
      </c>
      <c r="X35" s="196">
        <f t="shared" si="26"/>
        <v>0</v>
      </c>
      <c r="Y35" s="195">
        <f t="shared" si="26"/>
        <v>0</v>
      </c>
      <c r="Z35" s="196">
        <f t="shared" si="26"/>
        <v>0</v>
      </c>
      <c r="AA35" s="195">
        <f t="shared" si="26"/>
        <v>0</v>
      </c>
      <c r="AB35" s="196">
        <f t="shared" si="26"/>
        <v>0</v>
      </c>
      <c r="AC35" s="195">
        <f t="shared" si="26"/>
        <v>0</v>
      </c>
      <c r="AD35" s="196">
        <f t="shared" ref="AD35:AE35" si="27">AD30+AD31+AD34</f>
        <v>0</v>
      </c>
      <c r="AE35" s="195">
        <f t="shared" si="27"/>
        <v>0</v>
      </c>
    </row>
    <row r="36" spans="2:31" ht="20.149999999999999" customHeight="1" thickBot="1" x14ac:dyDescent="0.4">
      <c r="B36" s="192" t="s">
        <v>77</v>
      </c>
      <c r="C36" s="288"/>
      <c r="D36" s="289"/>
      <c r="E36" s="289"/>
      <c r="F36" s="289"/>
      <c r="G36" s="289"/>
      <c r="H36" s="289"/>
      <c r="I36" s="289"/>
      <c r="J36" s="289"/>
      <c r="K36" s="289"/>
      <c r="M36" s="193" t="s">
        <v>78</v>
      </c>
      <c r="N36" s="292"/>
      <c r="O36" s="200"/>
      <c r="P36" s="201"/>
      <c r="Q36" s="200"/>
      <c r="R36" s="201"/>
      <c r="S36" s="200"/>
      <c r="T36" s="201"/>
      <c r="U36" s="200"/>
      <c r="V36" s="201"/>
      <c r="W36" s="200"/>
      <c r="X36" s="201"/>
      <c r="Y36" s="200"/>
      <c r="Z36" s="201"/>
      <c r="AA36" s="200"/>
      <c r="AB36" s="201"/>
      <c r="AC36" s="200"/>
      <c r="AD36" s="201"/>
      <c r="AE36" s="200"/>
    </row>
    <row r="37" spans="2:31" ht="20.149999999999999" customHeight="1" thickTop="1" thickBot="1" x14ac:dyDescent="0.4">
      <c r="B37" s="192" t="s">
        <v>79</v>
      </c>
      <c r="C37" s="288"/>
      <c r="D37" s="289"/>
      <c r="E37" s="289"/>
      <c r="F37" s="289"/>
      <c r="G37" s="289"/>
      <c r="H37" s="289"/>
      <c r="I37" s="289"/>
      <c r="J37" s="289"/>
      <c r="K37" s="289"/>
      <c r="M37" s="202" t="s">
        <v>80</v>
      </c>
      <c r="N37" s="203">
        <f>+N35-N36</f>
        <v>0</v>
      </c>
      <c r="O37" s="204">
        <f>+O35-O36</f>
        <v>0</v>
      </c>
      <c r="P37" s="205">
        <f>+P35-P36</f>
        <v>0</v>
      </c>
      <c r="Q37" s="204">
        <f t="shared" ref="Q37:AC37" si="28">+Q35-Q36</f>
        <v>0</v>
      </c>
      <c r="R37" s="205">
        <f t="shared" si="28"/>
        <v>0</v>
      </c>
      <c r="S37" s="204">
        <f t="shared" si="28"/>
        <v>0</v>
      </c>
      <c r="T37" s="205">
        <f t="shared" si="28"/>
        <v>0</v>
      </c>
      <c r="U37" s="204">
        <f t="shared" si="28"/>
        <v>0</v>
      </c>
      <c r="V37" s="205">
        <f t="shared" si="28"/>
        <v>0</v>
      </c>
      <c r="W37" s="204">
        <f t="shared" si="28"/>
        <v>0</v>
      </c>
      <c r="X37" s="205">
        <f t="shared" si="28"/>
        <v>0</v>
      </c>
      <c r="Y37" s="204">
        <f t="shared" si="28"/>
        <v>0</v>
      </c>
      <c r="Z37" s="205">
        <f t="shared" si="28"/>
        <v>0</v>
      </c>
      <c r="AA37" s="204">
        <f t="shared" si="28"/>
        <v>0</v>
      </c>
      <c r="AB37" s="205">
        <f t="shared" si="28"/>
        <v>0</v>
      </c>
      <c r="AC37" s="204">
        <f t="shared" si="28"/>
        <v>0</v>
      </c>
      <c r="AD37" s="205">
        <f t="shared" ref="AD37:AE37" si="29">+AD35-AD36</f>
        <v>0</v>
      </c>
      <c r="AE37" s="204">
        <f t="shared" si="29"/>
        <v>0</v>
      </c>
    </row>
    <row r="38" spans="2:31" ht="20.149999999999999" customHeight="1" x14ac:dyDescent="0.35">
      <c r="B38" s="186" t="s">
        <v>81</v>
      </c>
      <c r="C38" s="288"/>
      <c r="D38" s="289"/>
      <c r="E38" s="289"/>
      <c r="F38" s="289"/>
      <c r="G38" s="289"/>
      <c r="H38" s="289"/>
      <c r="I38" s="289"/>
      <c r="J38" s="289"/>
      <c r="K38" s="289"/>
    </row>
    <row r="39" spans="2:31" ht="20.149999999999999" customHeight="1" x14ac:dyDescent="0.35">
      <c r="B39" s="193" t="s">
        <v>82</v>
      </c>
      <c r="C39" s="189">
        <f>+C40+C41+C45+C46+C42</f>
        <v>0</v>
      </c>
      <c r="D39" s="189">
        <f t="shared" ref="D39:J39" si="30">+D40+D41+D45+D46+D42</f>
        <v>0</v>
      </c>
      <c r="E39" s="189">
        <f t="shared" si="30"/>
        <v>0</v>
      </c>
      <c r="F39" s="189">
        <f>+F40+F41+F45+F46+F42</f>
        <v>0</v>
      </c>
      <c r="G39" s="189">
        <f>+G40+G41+G45+G46+G42</f>
        <v>0</v>
      </c>
      <c r="H39" s="189">
        <f t="shared" si="30"/>
        <v>0</v>
      </c>
      <c r="I39" s="189">
        <f t="shared" si="30"/>
        <v>0</v>
      </c>
      <c r="J39" s="189">
        <f t="shared" si="30"/>
        <v>0</v>
      </c>
      <c r="K39" s="189">
        <f>+K40+K41+K45+K46+K42</f>
        <v>0</v>
      </c>
      <c r="N39" s="52"/>
      <c r="O39" s="52"/>
      <c r="P39" s="52"/>
      <c r="Q39" s="52"/>
      <c r="R39" s="52"/>
      <c r="S39" s="52"/>
      <c r="T39" s="52"/>
      <c r="U39" s="52"/>
      <c r="V39" s="52"/>
      <c r="W39" s="52"/>
      <c r="X39" s="52"/>
      <c r="Y39" s="52"/>
      <c r="Z39" s="52"/>
      <c r="AA39" s="52"/>
      <c r="AB39" s="52"/>
      <c r="AC39" s="52"/>
      <c r="AD39" s="52"/>
      <c r="AE39" s="52"/>
    </row>
    <row r="40" spans="2:31" ht="20.149999999999999" customHeight="1" x14ac:dyDescent="0.35">
      <c r="B40" s="186" t="s">
        <v>83</v>
      </c>
      <c r="C40" s="288"/>
      <c r="D40" s="289"/>
      <c r="E40" s="289"/>
      <c r="F40" s="1283"/>
      <c r="G40" s="289"/>
      <c r="H40" s="1284"/>
      <c r="I40" s="1284"/>
      <c r="J40" s="289"/>
      <c r="K40" s="289"/>
      <c r="V40" s="206"/>
      <c r="W40" s="206"/>
      <c r="X40" s="206"/>
    </row>
    <row r="41" spans="2:31" ht="20.149999999999999" customHeight="1" thickBot="1" x14ac:dyDescent="0.4">
      <c r="B41" s="186" t="s">
        <v>84</v>
      </c>
      <c r="C41" s="288"/>
      <c r="D41" s="289"/>
      <c r="E41" s="289"/>
      <c r="F41" s="289"/>
      <c r="G41" s="289"/>
      <c r="H41" s="289"/>
      <c r="I41" s="289"/>
      <c r="J41" s="289"/>
      <c r="K41" s="289"/>
      <c r="N41" s="207" t="s">
        <v>85</v>
      </c>
      <c r="O41" s="207" t="s">
        <v>86</v>
      </c>
      <c r="P41" s="207" t="s">
        <v>87</v>
      </c>
      <c r="Q41" s="207" t="s">
        <v>88</v>
      </c>
      <c r="R41" s="207" t="str">
        <f>IF(MAX(N14:AE14)=3, "Anno a regime investimento","Anno 3°")</f>
        <v>Anno 3°</v>
      </c>
      <c r="S41" s="207" t="str">
        <f>IF(MAX(N14:AE14)=4,"Anno a regime investimento",IF(MAX(N14:AE14)&lt;4,"","Anno 4°"))</f>
        <v>Anno 4°</v>
      </c>
      <c r="T41" s="207" t="str">
        <f>IF(MAX(N14:AE14)=5,"Anno a regime investimento",IF(MAX(N14:AE14)&lt;5,"","Anno 5°"))</f>
        <v>Anno a regime investimento</v>
      </c>
    </row>
    <row r="42" spans="2:31" ht="20.149999999999999" customHeight="1" thickBot="1" x14ac:dyDescent="0.4">
      <c r="B42" s="186" t="s">
        <v>89</v>
      </c>
      <c r="C42" s="189">
        <f>+SUM(C43:C44)</f>
        <v>0</v>
      </c>
      <c r="D42" s="189">
        <f t="shared" ref="D42:J42" si="31">+SUM(D43:D44)</f>
        <v>0</v>
      </c>
      <c r="E42" s="189">
        <f t="shared" si="31"/>
        <v>0</v>
      </c>
      <c r="F42" s="189">
        <f t="shared" si="31"/>
        <v>0</v>
      </c>
      <c r="G42" s="189">
        <f t="shared" si="31"/>
        <v>0</v>
      </c>
      <c r="H42" s="189">
        <f t="shared" si="31"/>
        <v>0</v>
      </c>
      <c r="I42" s="189">
        <f t="shared" si="31"/>
        <v>0</v>
      </c>
      <c r="J42" s="189">
        <f t="shared" si="31"/>
        <v>0</v>
      </c>
      <c r="K42" s="189">
        <f>+SUM(K43:K44)</f>
        <v>0</v>
      </c>
      <c r="M42" s="175" t="s">
        <v>90</v>
      </c>
    </row>
    <row r="43" spans="2:31" ht="20.149999999999999" customHeight="1" x14ac:dyDescent="0.35">
      <c r="B43" s="186" t="s">
        <v>91</v>
      </c>
      <c r="C43" s="1283"/>
      <c r="D43" s="1284"/>
      <c r="E43" s="289"/>
      <c r="F43" s="1283"/>
      <c r="G43" s="289"/>
      <c r="H43" s="289"/>
      <c r="I43" s="289"/>
      <c r="J43" s="289"/>
      <c r="K43" s="289"/>
      <c r="M43" s="208" t="s">
        <v>92</v>
      </c>
      <c r="N43" s="209">
        <f ca="1">IFERROR(OFFSET(M14,MATCH(M37,M15:M37,0),MATCH(-1,N14:AE14,0)),0)</f>
        <v>0</v>
      </c>
      <c r="O43" s="210">
        <f ca="1">IFERROR(OFFSET(M14,MATCH(M37,M15:M37,0),MATCH(0,N14:AE14,0)),0)</f>
        <v>0</v>
      </c>
      <c r="P43" s="210">
        <f ca="1">IFERROR(OFFSET(M14,MATCH(M37,M15:M37,0),MATCH(1,N14:AE14,0)),0)</f>
        <v>0</v>
      </c>
      <c r="Q43" s="210">
        <f ca="1">IFERROR(OFFSET(M14,MATCH(M37,M15:M37,0),MATCH(2,N14:AE14,0)),0)</f>
        <v>0</v>
      </c>
      <c r="R43" s="210">
        <f ca="1">IFERROR(OFFSET(M14,MATCH(M37,M15:M37,0),MATCH(3,N14:AE14,0)),0)</f>
        <v>0</v>
      </c>
      <c r="S43" s="210">
        <f ca="1">IFERROR(OFFSET(M14,MATCH(M37,M15:M37,0),MATCH(4,N14:AE14,0)),0)</f>
        <v>0</v>
      </c>
      <c r="T43" s="211">
        <f ca="1">IFERROR(OFFSET(M14,MATCH(M37,M15:M37,0),MATCH(5,N14:AE14,0)),0)</f>
        <v>0</v>
      </c>
    </row>
    <row r="44" spans="2:31" ht="20.149999999999999" customHeight="1" x14ac:dyDescent="0.35">
      <c r="B44" s="186" t="s">
        <v>93</v>
      </c>
      <c r="C44" s="288"/>
      <c r="D44" s="289"/>
      <c r="E44" s="289"/>
      <c r="F44" s="1283"/>
      <c r="G44" s="289"/>
      <c r="H44" s="289"/>
      <c r="I44" s="289"/>
      <c r="J44" s="289"/>
      <c r="K44" s="289"/>
      <c r="M44" s="212" t="s">
        <v>94</v>
      </c>
      <c r="N44" s="213">
        <f ca="1">IFERROR(OFFSET(M14,MATCH(M26,M15:M37,0),MATCH(-1,N14:AE14,0)),0)</f>
        <v>0</v>
      </c>
      <c r="O44" s="214">
        <f ca="1">IFERROR(OFFSET(M14,MATCH(M26,M15:M37,0),MATCH(0,N14:AE14,0)),0)</f>
        <v>0</v>
      </c>
      <c r="P44" s="214">
        <f ca="1">IFERROR(OFFSET(M14,MATCH(M26,M15:M37,0),MATCH(1,N14:AE14,0)),0)</f>
        <v>0</v>
      </c>
      <c r="Q44" s="214">
        <f ca="1">IFERROR(OFFSET(M14,MATCH(M26,M15:M37,0),MATCH(2,N14:AE14,0)),0)</f>
        <v>0</v>
      </c>
      <c r="R44" s="214">
        <f ca="1">IFERROR(OFFSET(M14,MATCH(M26,M15:M37,0),MATCH(3,N14:AE14,0)),0)</f>
        <v>0</v>
      </c>
      <c r="S44" s="214">
        <f ca="1">IFERROR(OFFSET(M14,MATCH(M26,M15:M37,0),MATCH(4,N14:AE14,0)),0)</f>
        <v>0</v>
      </c>
      <c r="T44" s="215">
        <f ca="1">IFERROR(OFFSET(M14,MATCH(M26,M15:M37,0),MATCH(5,N14:AE14,0)),0)</f>
        <v>0</v>
      </c>
    </row>
    <row r="45" spans="2:31" ht="20.149999999999999" customHeight="1" x14ac:dyDescent="0.35">
      <c r="B45" s="186" t="s">
        <v>95</v>
      </c>
      <c r="C45" s="288"/>
      <c r="D45" s="289"/>
      <c r="E45" s="289"/>
      <c r="F45" s="1283"/>
      <c r="G45" s="289"/>
      <c r="H45" s="289"/>
      <c r="I45" s="289"/>
      <c r="J45" s="289"/>
      <c r="K45" s="289"/>
      <c r="M45" s="216" t="s">
        <v>96</v>
      </c>
      <c r="N45" s="213">
        <f ca="1">IFERROR(OFFSET(M14,MATCH(M28,M15:M37,0),MATCH(-1,N14:AE14,0)),0)</f>
        <v>0</v>
      </c>
      <c r="O45" s="214">
        <f ca="1">IFERROR(OFFSET(M14,MATCH(M28,M15:M37,0),MATCH(0,N14:AE14,0)),0)</f>
        <v>0</v>
      </c>
      <c r="P45" s="214">
        <f ca="1">IFERROR(OFFSET(M14,MATCH(M28,M15:M37,0),MATCH(1,N14:AE14,0)),0)</f>
        <v>0</v>
      </c>
      <c r="Q45" s="214">
        <f ca="1">IFERROR(OFFSET(M14,MATCH(M28,M15:M37,0),MATCH(2,N14:AE14,0)),0)</f>
        <v>0</v>
      </c>
      <c r="R45" s="214">
        <f ca="1">IFERROR(OFFSET(M14,MATCH(M28,M15:M37,0),MATCH(3,N14:AE14,0)),0)</f>
        <v>0</v>
      </c>
      <c r="S45" s="214">
        <f ca="1">IFERROR(OFFSET(M14,MATCH(M28,M15:M37,0),MATCH(4,N14:AE14,0)),0)</f>
        <v>0</v>
      </c>
      <c r="T45" s="215">
        <f ca="1">IFERROR(OFFSET(M14,MATCH(M28,M15:M37,0),MATCH(5,N14:AE14,0)),0)</f>
        <v>0</v>
      </c>
    </row>
    <row r="46" spans="2:31" ht="20.149999999999999" customHeight="1" x14ac:dyDescent="0.35">
      <c r="B46" s="186" t="s">
        <v>97</v>
      </c>
      <c r="C46" s="288"/>
      <c r="D46" s="289"/>
      <c r="E46" s="289"/>
      <c r="F46" s="1283"/>
      <c r="G46" s="289"/>
      <c r="H46" s="289"/>
      <c r="I46" s="289"/>
      <c r="J46" s="289"/>
      <c r="K46" s="289"/>
      <c r="M46" s="217" t="s">
        <v>98</v>
      </c>
      <c r="N46" s="53">
        <f ca="1">SUM(N43:N45)</f>
        <v>0</v>
      </c>
      <c r="O46" s="54">
        <f t="shared" ref="O46:T46" ca="1" si="32">SUM(O43:O45)</f>
        <v>0</v>
      </c>
      <c r="P46" s="54">
        <f t="shared" ca="1" si="32"/>
        <v>0</v>
      </c>
      <c r="Q46" s="54">
        <f t="shared" ca="1" si="32"/>
        <v>0</v>
      </c>
      <c r="R46" s="54">
        <f t="shared" ca="1" si="32"/>
        <v>0</v>
      </c>
      <c r="S46" s="54">
        <f t="shared" ca="1" si="32"/>
        <v>0</v>
      </c>
      <c r="T46" s="55">
        <f t="shared" ca="1" si="32"/>
        <v>0</v>
      </c>
    </row>
    <row r="47" spans="2:31" ht="20.149999999999999" customHeight="1" thickBot="1" x14ac:dyDescent="0.4">
      <c r="B47" s="218" t="s">
        <v>99</v>
      </c>
      <c r="C47" s="288"/>
      <c r="D47" s="289"/>
      <c r="E47" s="289"/>
      <c r="F47" s="1283"/>
      <c r="G47" s="289"/>
      <c r="H47" s="289"/>
      <c r="I47" s="289"/>
      <c r="J47" s="289"/>
      <c r="K47" s="289"/>
      <c r="M47" s="212" t="s">
        <v>100</v>
      </c>
      <c r="N47" s="1286"/>
      <c r="O47" s="1287"/>
      <c r="P47" s="1287"/>
      <c r="Q47" s="293"/>
      <c r="R47" s="293"/>
      <c r="S47" s="293"/>
      <c r="T47" s="294"/>
    </row>
    <row r="48" spans="2:31" ht="20.149999999999999" customHeight="1" thickBot="1" x14ac:dyDescent="0.35">
      <c r="B48" s="175" t="s">
        <v>101</v>
      </c>
      <c r="C48" s="219">
        <f>+C49+C52+C53+C54+C67</f>
        <v>0</v>
      </c>
      <c r="D48" s="178">
        <f t="shared" ref="D48:K48" si="33">+D49+D52+D53+D54+D67</f>
        <v>0</v>
      </c>
      <c r="E48" s="178">
        <f t="shared" si="33"/>
        <v>0</v>
      </c>
      <c r="F48" s="178">
        <f t="shared" si="33"/>
        <v>0</v>
      </c>
      <c r="G48" s="178">
        <f t="shared" si="33"/>
        <v>0</v>
      </c>
      <c r="H48" s="178">
        <f t="shared" si="33"/>
        <v>0</v>
      </c>
      <c r="I48" s="178">
        <f t="shared" si="33"/>
        <v>0</v>
      </c>
      <c r="J48" s="178">
        <f t="shared" si="33"/>
        <v>0</v>
      </c>
      <c r="K48" s="178">
        <f t="shared" si="33"/>
        <v>0</v>
      </c>
      <c r="M48" s="217" t="s">
        <v>102</v>
      </c>
      <c r="N48" s="213">
        <f>-N47</f>
        <v>0</v>
      </c>
      <c r="O48" s="214">
        <f t="shared" ref="O48:T48" si="34">-O47</f>
        <v>0</v>
      </c>
      <c r="P48" s="214">
        <f t="shared" si="34"/>
        <v>0</v>
      </c>
      <c r="Q48" s="214">
        <f t="shared" si="34"/>
        <v>0</v>
      </c>
      <c r="R48" s="214">
        <f t="shared" si="34"/>
        <v>0</v>
      </c>
      <c r="S48" s="214">
        <f t="shared" si="34"/>
        <v>0</v>
      </c>
      <c r="T48" s="215">
        <f t="shared" si="34"/>
        <v>0</v>
      </c>
    </row>
    <row r="49" spans="2:20" ht="20.149999999999999" customHeight="1" x14ac:dyDescent="0.35">
      <c r="B49" s="179" t="s">
        <v>103</v>
      </c>
      <c r="C49" s="189">
        <f>+C50+C51</f>
        <v>0</v>
      </c>
      <c r="D49" s="190">
        <f t="shared" ref="D49:K49" si="35">+D50+D51</f>
        <v>0</v>
      </c>
      <c r="E49" s="190">
        <f t="shared" si="35"/>
        <v>0</v>
      </c>
      <c r="F49" s="190">
        <f t="shared" si="35"/>
        <v>0</v>
      </c>
      <c r="G49" s="190">
        <f t="shared" si="35"/>
        <v>0</v>
      </c>
      <c r="H49" s="190">
        <f t="shared" si="35"/>
        <v>0</v>
      </c>
      <c r="I49" s="190">
        <f t="shared" si="35"/>
        <v>0</v>
      </c>
      <c r="J49" s="190">
        <f t="shared" si="35"/>
        <v>0</v>
      </c>
      <c r="K49" s="190">
        <f t="shared" si="35"/>
        <v>0</v>
      </c>
      <c r="M49" s="220" t="s">
        <v>104</v>
      </c>
      <c r="N49" s="1630"/>
      <c r="O49" s="1631"/>
      <c r="P49" s="1631"/>
      <c r="Q49" s="1631"/>
      <c r="R49" s="1631"/>
      <c r="S49" s="1631"/>
      <c r="T49" s="1632"/>
    </row>
    <row r="50" spans="2:20" ht="20.149999999999999" customHeight="1" x14ac:dyDescent="0.35">
      <c r="B50" s="186" t="s">
        <v>105</v>
      </c>
      <c r="C50" s="288"/>
      <c r="D50" s="289"/>
      <c r="E50" s="289"/>
      <c r="F50" s="1283"/>
      <c r="G50" s="289"/>
      <c r="H50" s="289"/>
      <c r="I50" s="289"/>
      <c r="J50" s="289"/>
      <c r="K50" s="289"/>
      <c r="M50" s="221" t="s">
        <v>106</v>
      </c>
      <c r="N50" s="295"/>
      <c r="O50" s="296"/>
      <c r="P50" s="296"/>
      <c r="Q50" s="1288"/>
      <c r="R50" s="296"/>
      <c r="S50" s="296"/>
      <c r="T50" s="297"/>
    </row>
    <row r="51" spans="2:20" ht="20.149999999999999" customHeight="1" x14ac:dyDescent="0.35">
      <c r="B51" s="186" t="s">
        <v>107</v>
      </c>
      <c r="C51" s="288"/>
      <c r="D51" s="289"/>
      <c r="E51" s="289"/>
      <c r="F51" s="1283"/>
      <c r="G51" s="289"/>
      <c r="H51" s="289"/>
      <c r="I51" s="289"/>
      <c r="J51" s="289"/>
      <c r="K51" s="289"/>
      <c r="M51" s="221" t="s">
        <v>108</v>
      </c>
      <c r="N51" s="295"/>
      <c r="O51" s="296"/>
      <c r="P51" s="296"/>
      <c r="Q51" s="1288"/>
      <c r="R51" s="296"/>
      <c r="S51" s="296"/>
      <c r="T51" s="297"/>
    </row>
    <row r="52" spans="2:20" ht="20.149999999999999" customHeight="1" x14ac:dyDescent="0.35">
      <c r="B52" s="193" t="s">
        <v>109</v>
      </c>
      <c r="C52" s="288"/>
      <c r="D52" s="289"/>
      <c r="E52" s="289"/>
      <c r="F52" s="1283"/>
      <c r="G52" s="289"/>
      <c r="H52" s="289"/>
      <c r="I52" s="289"/>
      <c r="J52" s="289"/>
      <c r="K52" s="289"/>
      <c r="M52" s="221" t="s">
        <v>110</v>
      </c>
      <c r="N52" s="295"/>
      <c r="O52" s="1289"/>
      <c r="P52" s="296"/>
      <c r="Q52" s="296"/>
      <c r="R52" s="296"/>
      <c r="S52" s="296"/>
      <c r="T52" s="297"/>
    </row>
    <row r="53" spans="2:20" ht="20.149999999999999" customHeight="1" x14ac:dyDescent="0.35">
      <c r="B53" s="193" t="s">
        <v>111</v>
      </c>
      <c r="C53" s="288"/>
      <c r="D53" s="289"/>
      <c r="E53" s="289"/>
      <c r="F53" s="1283"/>
      <c r="G53" s="289"/>
      <c r="H53" s="289"/>
      <c r="I53" s="289"/>
      <c r="J53" s="289"/>
      <c r="K53" s="289"/>
      <c r="M53" s="221" t="s">
        <v>112</v>
      </c>
      <c r="N53" s="222"/>
      <c r="O53" s="223"/>
      <c r="P53" s="296"/>
      <c r="Q53" s="296"/>
      <c r="R53" s="223"/>
      <c r="S53" s="223"/>
      <c r="T53" s="224"/>
    </row>
    <row r="54" spans="2:20" ht="20.149999999999999" customHeight="1" x14ac:dyDescent="0.35">
      <c r="B54" s="193" t="s">
        <v>113</v>
      </c>
      <c r="C54" s="189">
        <f>+C55+C58+C61+C64</f>
        <v>0</v>
      </c>
      <c r="D54" s="190">
        <f>+D55+D58+D61+D64</f>
        <v>0</v>
      </c>
      <c r="E54" s="190">
        <f t="shared" ref="E54:K54" si="36">+E55+E58+E61+E64</f>
        <v>0</v>
      </c>
      <c r="F54" s="190">
        <f t="shared" si="36"/>
        <v>0</v>
      </c>
      <c r="G54" s="190">
        <f t="shared" si="36"/>
        <v>0</v>
      </c>
      <c r="H54" s="190">
        <f t="shared" si="36"/>
        <v>0</v>
      </c>
      <c r="I54" s="190">
        <f t="shared" si="36"/>
        <v>0</v>
      </c>
      <c r="J54" s="190">
        <f t="shared" si="36"/>
        <v>0</v>
      </c>
      <c r="K54" s="190">
        <f t="shared" si="36"/>
        <v>0</v>
      </c>
      <c r="M54" s="221" t="s">
        <v>114</v>
      </c>
      <c r="N54" s="222"/>
      <c r="O54" s="223"/>
      <c r="P54" s="296"/>
      <c r="Q54" s="296"/>
      <c r="R54" s="223"/>
      <c r="S54" s="223"/>
      <c r="T54" s="224"/>
    </row>
    <row r="55" spans="2:20" ht="20.149999999999999" customHeight="1" x14ac:dyDescent="0.35">
      <c r="B55" s="186" t="s">
        <v>115</v>
      </c>
      <c r="C55" s="189">
        <f>+C56+C57</f>
        <v>0</v>
      </c>
      <c r="D55" s="190">
        <f t="shared" ref="D55:K55" si="37">+D56+D57</f>
        <v>0</v>
      </c>
      <c r="E55" s="190">
        <f t="shared" si="37"/>
        <v>0</v>
      </c>
      <c r="F55" s="190">
        <f t="shared" si="37"/>
        <v>0</v>
      </c>
      <c r="G55" s="190">
        <f t="shared" si="37"/>
        <v>0</v>
      </c>
      <c r="H55" s="190">
        <f t="shared" si="37"/>
        <v>0</v>
      </c>
      <c r="I55" s="190">
        <f t="shared" si="37"/>
        <v>0</v>
      </c>
      <c r="J55" s="190">
        <f t="shared" si="37"/>
        <v>0</v>
      </c>
      <c r="K55" s="190">
        <f t="shared" si="37"/>
        <v>0</v>
      </c>
      <c r="M55" s="216" t="s">
        <v>116</v>
      </c>
      <c r="N55" s="295"/>
      <c r="O55" s="296"/>
      <c r="P55" s="296"/>
      <c r="Q55" s="296"/>
      <c r="R55" s="296"/>
      <c r="S55" s="296"/>
      <c r="T55" s="297"/>
    </row>
    <row r="56" spans="2:20" ht="20.149999999999999" customHeight="1" x14ac:dyDescent="0.35">
      <c r="B56" s="186" t="s">
        <v>117</v>
      </c>
      <c r="C56" s="288"/>
      <c r="D56" s="289"/>
      <c r="E56" s="289"/>
      <c r="F56" s="1283"/>
      <c r="G56" s="289"/>
      <c r="H56" s="289"/>
      <c r="I56" s="289"/>
      <c r="J56" s="289"/>
      <c r="K56" s="289"/>
      <c r="M56" s="225" t="s">
        <v>118</v>
      </c>
      <c r="N56" s="222"/>
      <c r="O56" s="223"/>
      <c r="P56" s="223"/>
      <c r="Q56" s="223"/>
      <c r="R56" s="226">
        <f>(SUM($P$53:$Q$53)/10)</f>
        <v>0</v>
      </c>
      <c r="S56" s="226">
        <f>(SUM($P$53:$Q$53)/10)</f>
        <v>0</v>
      </c>
      <c r="T56" s="227">
        <f>(SUM($P$53:$Q$53)/10)</f>
        <v>0</v>
      </c>
    </row>
    <row r="57" spans="2:20" ht="20.149999999999999" customHeight="1" x14ac:dyDescent="0.35">
      <c r="B57" s="186" t="s">
        <v>119</v>
      </c>
      <c r="C57" s="288"/>
      <c r="D57" s="289"/>
      <c r="E57" s="289"/>
      <c r="F57" s="1283"/>
      <c r="G57" s="289"/>
      <c r="H57" s="289"/>
      <c r="I57" s="289"/>
      <c r="J57" s="289"/>
      <c r="K57" s="289"/>
      <c r="M57" s="216" t="s">
        <v>120</v>
      </c>
      <c r="N57" s="295"/>
      <c r="O57" s="296"/>
      <c r="P57" s="296"/>
      <c r="Q57" s="296"/>
      <c r="R57" s="296"/>
      <c r="S57" s="296"/>
      <c r="T57" s="297"/>
    </row>
    <row r="58" spans="2:20" ht="20.149999999999999" customHeight="1" x14ac:dyDescent="0.35">
      <c r="B58" s="186" t="s">
        <v>121</v>
      </c>
      <c r="C58" s="189">
        <f>+C59+C60</f>
        <v>0</v>
      </c>
      <c r="D58" s="190">
        <f t="shared" ref="D58:K58" si="38">+D59+D60</f>
        <v>0</v>
      </c>
      <c r="E58" s="190">
        <f t="shared" si="38"/>
        <v>0</v>
      </c>
      <c r="F58" s="190">
        <f t="shared" si="38"/>
        <v>0</v>
      </c>
      <c r="G58" s="190">
        <f t="shared" si="38"/>
        <v>0</v>
      </c>
      <c r="H58" s="190">
        <f t="shared" si="38"/>
        <v>0</v>
      </c>
      <c r="I58" s="190">
        <f t="shared" si="38"/>
        <v>0</v>
      </c>
      <c r="J58" s="190">
        <f t="shared" si="38"/>
        <v>0</v>
      </c>
      <c r="K58" s="190">
        <f t="shared" si="38"/>
        <v>0</v>
      </c>
      <c r="M58" s="228" t="s">
        <v>122</v>
      </c>
      <c r="N58" s="229">
        <f>+N50+N51+N52+N53-N55+N57+N54-N56</f>
        <v>0</v>
      </c>
      <c r="O58" s="226">
        <f t="shared" ref="O58:T58" si="39">+O50+O51+O52+O53-O55+O57+O54-O56</f>
        <v>0</v>
      </c>
      <c r="P58" s="226">
        <f>+P50+P51+P52+P53-P55+P57+P54-P56</f>
        <v>0</v>
      </c>
      <c r="Q58" s="226">
        <f>+Q50+Q51+Q52+Q53-Q55+Q57+Q54-Q56</f>
        <v>0</v>
      </c>
      <c r="R58" s="226">
        <f>+R50+R51+R52+R53-R55+R57+R54-R56</f>
        <v>0</v>
      </c>
      <c r="S58" s="226">
        <f t="shared" si="39"/>
        <v>0</v>
      </c>
      <c r="T58" s="227">
        <f t="shared" si="39"/>
        <v>0</v>
      </c>
    </row>
    <row r="59" spans="2:20" ht="20.149999999999999" customHeight="1" x14ac:dyDescent="0.35">
      <c r="B59" s="186" t="s">
        <v>123</v>
      </c>
      <c r="C59" s="288"/>
      <c r="D59" s="289"/>
      <c r="E59" s="289"/>
      <c r="F59" s="1283"/>
      <c r="G59" s="289"/>
      <c r="H59" s="289"/>
      <c r="I59" s="289"/>
      <c r="J59" s="289"/>
      <c r="K59" s="289"/>
      <c r="M59" s="220" t="s">
        <v>124</v>
      </c>
      <c r="N59" s="295"/>
      <c r="O59" s="296">
        <f>+E46-E56</f>
        <v>0</v>
      </c>
      <c r="P59" s="226">
        <f ca="1">+O60</f>
        <v>0</v>
      </c>
      <c r="Q59" s="226">
        <f t="shared" ref="Q59:T59" ca="1" si="40">+P60</f>
        <v>0</v>
      </c>
      <c r="R59" s="226">
        <f t="shared" ca="1" si="40"/>
        <v>0</v>
      </c>
      <c r="S59" s="226">
        <f t="shared" ca="1" si="40"/>
        <v>0</v>
      </c>
      <c r="T59" s="227">
        <f t="shared" ca="1" si="40"/>
        <v>0</v>
      </c>
    </row>
    <row r="60" spans="2:20" ht="20.149999999999999" customHeight="1" thickBot="1" x14ac:dyDescent="0.4">
      <c r="B60" s="186" t="s">
        <v>125</v>
      </c>
      <c r="C60" s="288"/>
      <c r="D60" s="289"/>
      <c r="E60" s="289"/>
      <c r="F60" s="289"/>
      <c r="G60" s="289"/>
      <c r="H60" s="289"/>
      <c r="I60" s="289"/>
      <c r="J60" s="289"/>
      <c r="K60" s="289"/>
      <c r="M60" s="230" t="s">
        <v>126</v>
      </c>
      <c r="N60" s="231">
        <f ca="1">+N46+N48+N58+N59</f>
        <v>0</v>
      </c>
      <c r="O60" s="232">
        <f ca="1">+O46+O48+O58+O59</f>
        <v>0</v>
      </c>
      <c r="P60" s="232">
        <f t="shared" ref="P60:T60" ca="1" si="41">+P46+P48+P58+P59</f>
        <v>0</v>
      </c>
      <c r="Q60" s="232">
        <f t="shared" ca="1" si="41"/>
        <v>0</v>
      </c>
      <c r="R60" s="232">
        <f t="shared" ca="1" si="41"/>
        <v>0</v>
      </c>
      <c r="S60" s="232">
        <f t="shared" ca="1" si="41"/>
        <v>0</v>
      </c>
      <c r="T60" s="233">
        <f t="shared" ca="1" si="41"/>
        <v>0</v>
      </c>
    </row>
    <row r="61" spans="2:20" ht="20.149999999999999" customHeight="1" x14ac:dyDescent="0.35">
      <c r="B61" s="186" t="s">
        <v>127</v>
      </c>
      <c r="C61" s="189">
        <f>+C62+C63</f>
        <v>0</v>
      </c>
      <c r="D61" s="190">
        <f t="shared" ref="D61:K61" si="42">+D62+D63</f>
        <v>0</v>
      </c>
      <c r="E61" s="190">
        <f t="shared" si="42"/>
        <v>0</v>
      </c>
      <c r="F61" s="190">
        <f t="shared" si="42"/>
        <v>0</v>
      </c>
      <c r="G61" s="190">
        <f t="shared" si="42"/>
        <v>0</v>
      </c>
      <c r="H61" s="190">
        <f t="shared" si="42"/>
        <v>0</v>
      </c>
      <c r="I61" s="190">
        <f t="shared" si="42"/>
        <v>0</v>
      </c>
      <c r="J61" s="190">
        <f t="shared" si="42"/>
        <v>0</v>
      </c>
      <c r="K61" s="190">
        <f t="shared" si="42"/>
        <v>0</v>
      </c>
    </row>
    <row r="62" spans="2:20" ht="20.149999999999999" customHeight="1" x14ac:dyDescent="0.35">
      <c r="B62" s="186" t="s">
        <v>128</v>
      </c>
      <c r="C62" s="288"/>
      <c r="D62" s="289"/>
      <c r="E62" s="289"/>
      <c r="F62" s="289"/>
      <c r="G62" s="289"/>
      <c r="H62" s="289"/>
      <c r="I62" s="289"/>
      <c r="J62" s="289"/>
      <c r="K62" s="289"/>
    </row>
    <row r="63" spans="2:20" ht="20.149999999999999" customHeight="1" x14ac:dyDescent="0.35">
      <c r="B63" s="186" t="s">
        <v>129</v>
      </c>
      <c r="C63" s="288"/>
      <c r="D63" s="289"/>
      <c r="E63" s="289"/>
      <c r="F63" s="289"/>
      <c r="G63" s="289"/>
      <c r="H63" s="289"/>
      <c r="I63" s="289"/>
      <c r="J63" s="289"/>
      <c r="K63" s="289"/>
    </row>
    <row r="64" spans="2:20" ht="20.149999999999999" customHeight="1" x14ac:dyDescent="0.35">
      <c r="B64" s="186" t="s">
        <v>130</v>
      </c>
      <c r="C64" s="189">
        <f>+C65+C66</f>
        <v>0</v>
      </c>
      <c r="D64" s="190">
        <f t="shared" ref="D64:K64" si="43">+D65+D66</f>
        <v>0</v>
      </c>
      <c r="E64" s="190">
        <f t="shared" si="43"/>
        <v>0</v>
      </c>
      <c r="F64" s="190">
        <f t="shared" si="43"/>
        <v>0</v>
      </c>
      <c r="G64" s="190">
        <f t="shared" si="43"/>
        <v>0</v>
      </c>
      <c r="H64" s="190">
        <f t="shared" si="43"/>
        <v>0</v>
      </c>
      <c r="I64" s="190">
        <f t="shared" si="43"/>
        <v>0</v>
      </c>
      <c r="J64" s="190">
        <f t="shared" si="43"/>
        <v>0</v>
      </c>
      <c r="K64" s="190">
        <f t="shared" si="43"/>
        <v>0</v>
      </c>
    </row>
    <row r="65" spans="2:11" ht="20.149999999999999" customHeight="1" x14ac:dyDescent="0.35">
      <c r="B65" s="186" t="s">
        <v>131</v>
      </c>
      <c r="C65" s="288"/>
      <c r="D65" s="289"/>
      <c r="E65" s="289"/>
      <c r="F65" s="289"/>
      <c r="G65" s="289"/>
      <c r="H65" s="289"/>
      <c r="I65" s="289"/>
      <c r="J65" s="289"/>
      <c r="K65" s="289"/>
    </row>
    <row r="66" spans="2:11" ht="20.149999999999999" customHeight="1" x14ac:dyDescent="0.35">
      <c r="B66" s="186" t="s">
        <v>132</v>
      </c>
      <c r="C66" s="288"/>
      <c r="D66" s="289"/>
      <c r="E66" s="289"/>
      <c r="F66" s="289"/>
      <c r="G66" s="289"/>
      <c r="H66" s="289"/>
      <c r="I66" s="289"/>
      <c r="J66" s="289"/>
      <c r="K66" s="289"/>
    </row>
    <row r="67" spans="2:11" ht="20.149999999999999" customHeight="1" thickBot="1" x14ac:dyDescent="0.4">
      <c r="B67" s="234" t="s">
        <v>133</v>
      </c>
      <c r="C67" s="298"/>
      <c r="D67" s="299"/>
      <c r="E67" s="299"/>
      <c r="F67" s="299"/>
      <c r="G67" s="299"/>
      <c r="H67" s="299"/>
      <c r="I67" s="299"/>
      <c r="J67" s="299"/>
      <c r="K67" s="299"/>
    </row>
    <row r="68" spans="2:11" ht="20.149999999999999" customHeight="1" x14ac:dyDescent="0.3">
      <c r="D68" s="235"/>
      <c r="E68" s="235"/>
      <c r="F68" s="235"/>
    </row>
    <row r="69" spans="2:11" ht="20.149999999999999" customHeight="1" x14ac:dyDescent="0.3">
      <c r="D69" s="235"/>
      <c r="E69" s="235"/>
      <c r="F69" s="235"/>
    </row>
    <row r="70" spans="2:11" ht="20.149999999999999" customHeight="1" x14ac:dyDescent="0.35">
      <c r="C70" s="206"/>
      <c r="D70" s="206"/>
      <c r="E70" s="206"/>
      <c r="F70" s="206"/>
      <c r="G70" s="206"/>
    </row>
    <row r="71" spans="2:11" ht="20.149999999999999" customHeight="1" x14ac:dyDescent="0.3">
      <c r="D71" s="235"/>
      <c r="E71" s="235"/>
      <c r="F71" s="235"/>
    </row>
    <row r="72" spans="2:11" ht="20.149999999999999" customHeight="1" x14ac:dyDescent="0.3">
      <c r="D72" s="235"/>
      <c r="E72" s="235"/>
      <c r="F72" s="235"/>
    </row>
    <row r="73" spans="2:11" ht="20.149999999999999" customHeight="1" x14ac:dyDescent="0.35">
      <c r="B73"/>
      <c r="C73"/>
      <c r="D73"/>
      <c r="E73"/>
      <c r="F73"/>
      <c r="G73"/>
    </row>
    <row r="74" spans="2:11" ht="20.149999999999999" customHeight="1" x14ac:dyDescent="0.35">
      <c r="B74"/>
      <c r="C74"/>
      <c r="D74"/>
      <c r="E74"/>
      <c r="F74"/>
      <c r="G74"/>
    </row>
    <row r="75" spans="2:11" ht="20.149999999999999" customHeight="1" x14ac:dyDescent="0.35">
      <c r="B75"/>
      <c r="C75"/>
      <c r="D75"/>
      <c r="E75"/>
      <c r="F75"/>
      <c r="G75"/>
    </row>
    <row r="76" spans="2:11" ht="20.149999999999999" customHeight="1" x14ac:dyDescent="0.35">
      <c r="B76"/>
      <c r="C76"/>
      <c r="D76"/>
      <c r="E76"/>
      <c r="F76"/>
      <c r="G76"/>
    </row>
    <row r="77" spans="2:11" ht="20.149999999999999" customHeight="1" x14ac:dyDescent="0.35">
      <c r="B77"/>
      <c r="C77"/>
      <c r="D77"/>
      <c r="E77"/>
      <c r="F77"/>
      <c r="G77"/>
    </row>
    <row r="78" spans="2:11" ht="20.149999999999999" customHeight="1" x14ac:dyDescent="0.35">
      <c r="B78"/>
      <c r="C78"/>
      <c r="D78"/>
      <c r="E78"/>
      <c r="F78"/>
      <c r="G78"/>
    </row>
    <row r="79" spans="2:11" ht="20.149999999999999" customHeight="1" x14ac:dyDescent="0.35">
      <c r="B79"/>
      <c r="C79"/>
      <c r="D79"/>
      <c r="E79"/>
      <c r="F79"/>
      <c r="G79"/>
    </row>
    <row r="80" spans="2:11" ht="20.149999999999999" customHeight="1" x14ac:dyDescent="0.35">
      <c r="B80"/>
      <c r="C80"/>
      <c r="D80"/>
      <c r="E80"/>
      <c r="F80"/>
      <c r="G80"/>
    </row>
    <row r="81" spans="2:7" ht="20.149999999999999" customHeight="1" x14ac:dyDescent="0.35">
      <c r="B81"/>
      <c r="C81"/>
      <c r="D81"/>
      <c r="E81"/>
      <c r="F81"/>
      <c r="G81"/>
    </row>
    <row r="82" spans="2:7" ht="20.149999999999999" customHeight="1" x14ac:dyDescent="0.35">
      <c r="B82"/>
      <c r="C82"/>
      <c r="D82"/>
      <c r="E82"/>
      <c r="F82"/>
      <c r="G82"/>
    </row>
    <row r="83" spans="2:7" ht="20.149999999999999" customHeight="1" x14ac:dyDescent="0.35">
      <c r="B83"/>
      <c r="C83"/>
      <c r="D83"/>
      <c r="E83"/>
      <c r="F83"/>
      <c r="G83"/>
    </row>
    <row r="84" spans="2:7" ht="20.149999999999999" customHeight="1" x14ac:dyDescent="0.35">
      <c r="B84"/>
      <c r="C84"/>
      <c r="D84"/>
      <c r="E84"/>
      <c r="F84"/>
      <c r="G84"/>
    </row>
    <row r="85" spans="2:7" ht="20.149999999999999" customHeight="1" x14ac:dyDescent="0.35">
      <c r="B85"/>
      <c r="C85"/>
      <c r="D85"/>
      <c r="E85"/>
      <c r="F85"/>
      <c r="G85"/>
    </row>
    <row r="86" spans="2:7" ht="20.149999999999999" customHeight="1" x14ac:dyDescent="0.35">
      <c r="B86"/>
      <c r="C86"/>
      <c r="D86"/>
      <c r="E86"/>
      <c r="F86"/>
      <c r="G86"/>
    </row>
    <row r="87" spans="2:7" ht="20.149999999999999" customHeight="1" x14ac:dyDescent="0.35">
      <c r="B87"/>
      <c r="C87"/>
      <c r="D87"/>
      <c r="E87"/>
      <c r="F87"/>
      <c r="G87"/>
    </row>
    <row r="88" spans="2:7" ht="20.149999999999999" customHeight="1" x14ac:dyDescent="0.35">
      <c r="B88"/>
      <c r="C88"/>
      <c r="D88"/>
      <c r="E88"/>
      <c r="F88"/>
      <c r="G88"/>
    </row>
    <row r="89" spans="2:7" ht="20.149999999999999" customHeight="1" x14ac:dyDescent="0.35">
      <c r="B89"/>
      <c r="C89"/>
      <c r="D89"/>
      <c r="E89"/>
      <c r="F89"/>
      <c r="G89"/>
    </row>
    <row r="90" spans="2:7" ht="20.149999999999999" customHeight="1" x14ac:dyDescent="0.35">
      <c r="B90"/>
      <c r="C90"/>
      <c r="D90"/>
      <c r="E90"/>
      <c r="F90"/>
      <c r="G90"/>
    </row>
    <row r="91" spans="2:7" ht="20.149999999999999" customHeight="1" x14ac:dyDescent="0.35">
      <c r="B91"/>
      <c r="C91"/>
      <c r="D91"/>
      <c r="E91"/>
      <c r="F91"/>
      <c r="G91"/>
    </row>
    <row r="92" spans="2:7" ht="20.149999999999999" customHeight="1" x14ac:dyDescent="0.35">
      <c r="B92"/>
      <c r="C92"/>
      <c r="D92"/>
      <c r="E92"/>
      <c r="F92"/>
      <c r="G92"/>
    </row>
    <row r="93" spans="2:7" ht="20.149999999999999" customHeight="1" x14ac:dyDescent="0.35">
      <c r="B93"/>
      <c r="C93"/>
      <c r="D93"/>
      <c r="E93"/>
      <c r="F93"/>
      <c r="G93"/>
    </row>
    <row r="94" spans="2:7" ht="20.149999999999999" customHeight="1" x14ac:dyDescent="0.35">
      <c r="B94"/>
      <c r="C94"/>
      <c r="D94"/>
      <c r="E94"/>
      <c r="F94"/>
      <c r="G94"/>
    </row>
    <row r="95" spans="2:7" ht="20.149999999999999" customHeight="1" x14ac:dyDescent="0.35">
      <c r="B95"/>
      <c r="C95"/>
      <c r="D95"/>
      <c r="E95"/>
      <c r="F95"/>
      <c r="G95"/>
    </row>
    <row r="96" spans="2:7" ht="20.149999999999999" customHeight="1" x14ac:dyDescent="0.35">
      <c r="B96"/>
      <c r="C96"/>
      <c r="D96"/>
      <c r="E96"/>
      <c r="F96"/>
      <c r="G96"/>
    </row>
    <row r="97" spans="2:7" ht="20.149999999999999" customHeight="1" x14ac:dyDescent="0.35">
      <c r="B97"/>
      <c r="C97"/>
      <c r="D97"/>
      <c r="E97"/>
      <c r="F97"/>
      <c r="G97"/>
    </row>
    <row r="98" spans="2:7" ht="20.149999999999999" customHeight="1" x14ac:dyDescent="0.35">
      <c r="B98"/>
      <c r="C98"/>
      <c r="D98"/>
      <c r="E98"/>
      <c r="F98"/>
      <c r="G98"/>
    </row>
    <row r="99" spans="2:7" ht="20.149999999999999" customHeight="1" x14ac:dyDescent="0.35">
      <c r="B99"/>
      <c r="C99"/>
      <c r="D99"/>
      <c r="E99"/>
      <c r="F99"/>
      <c r="G99"/>
    </row>
    <row r="100" spans="2:7" ht="20.149999999999999" customHeight="1" x14ac:dyDescent="0.35">
      <c r="B100"/>
      <c r="C100"/>
      <c r="D100"/>
      <c r="E100"/>
      <c r="F100"/>
      <c r="G100"/>
    </row>
    <row r="101" spans="2:7" ht="20.149999999999999" customHeight="1" x14ac:dyDescent="0.35">
      <c r="B101"/>
      <c r="C101"/>
      <c r="D101"/>
      <c r="E101"/>
      <c r="F101"/>
      <c r="G101"/>
    </row>
    <row r="102" spans="2:7" ht="20.149999999999999" customHeight="1" x14ac:dyDescent="0.35">
      <c r="B102"/>
      <c r="C102"/>
      <c r="D102"/>
      <c r="E102"/>
      <c r="F102"/>
      <c r="G102"/>
    </row>
    <row r="103" spans="2:7" ht="20.149999999999999" customHeight="1" x14ac:dyDescent="0.35">
      <c r="B103"/>
      <c r="C103"/>
      <c r="D103"/>
      <c r="E103"/>
      <c r="F103"/>
      <c r="G103"/>
    </row>
    <row r="104" spans="2:7" ht="20.149999999999999" customHeight="1" x14ac:dyDescent="0.35">
      <c r="B104"/>
      <c r="C104"/>
      <c r="D104"/>
      <c r="E104"/>
      <c r="F104"/>
      <c r="G104"/>
    </row>
    <row r="105" spans="2:7" ht="20.149999999999999" customHeight="1" x14ac:dyDescent="0.35">
      <c r="B105"/>
      <c r="C105"/>
      <c r="D105"/>
      <c r="E105"/>
      <c r="F105"/>
      <c r="G105"/>
    </row>
    <row r="106" spans="2:7" ht="20.149999999999999" customHeight="1" x14ac:dyDescent="0.35">
      <c r="B106"/>
      <c r="C106"/>
      <c r="D106"/>
      <c r="E106"/>
      <c r="F106"/>
      <c r="G106"/>
    </row>
    <row r="107" spans="2:7" ht="20.149999999999999" customHeight="1" x14ac:dyDescent="0.35">
      <c r="B107"/>
      <c r="C107"/>
      <c r="D107"/>
      <c r="E107"/>
      <c r="F107"/>
      <c r="G107"/>
    </row>
    <row r="108" spans="2:7" ht="20.149999999999999" customHeight="1" x14ac:dyDescent="0.35">
      <c r="B108"/>
      <c r="C108"/>
      <c r="D108"/>
      <c r="E108"/>
      <c r="F108"/>
      <c r="G108"/>
    </row>
    <row r="109" spans="2:7" ht="20.149999999999999" customHeight="1" x14ac:dyDescent="0.35">
      <c r="B109"/>
      <c r="C109"/>
      <c r="D109"/>
      <c r="E109"/>
      <c r="F109"/>
      <c r="G109"/>
    </row>
    <row r="110" spans="2:7" ht="20.149999999999999" customHeight="1" x14ac:dyDescent="0.35">
      <c r="B110"/>
      <c r="C110"/>
      <c r="D110"/>
      <c r="E110"/>
      <c r="F110"/>
      <c r="G110"/>
    </row>
    <row r="111" spans="2:7" ht="20.149999999999999" customHeight="1" x14ac:dyDescent="0.35">
      <c r="B111"/>
      <c r="C111"/>
      <c r="D111"/>
      <c r="E111"/>
      <c r="F111"/>
      <c r="G111"/>
    </row>
    <row r="112" spans="2:7" ht="20.149999999999999" customHeight="1" x14ac:dyDescent="0.35">
      <c r="B112"/>
      <c r="C112"/>
      <c r="D112"/>
      <c r="E112"/>
      <c r="F112"/>
      <c r="G112"/>
    </row>
    <row r="113" spans="2:7" ht="20.149999999999999" customHeight="1" x14ac:dyDescent="0.35">
      <c r="B113"/>
      <c r="C113"/>
      <c r="D113"/>
      <c r="E113"/>
      <c r="F113"/>
      <c r="G113"/>
    </row>
    <row r="114" spans="2:7" ht="20.149999999999999" customHeight="1" x14ac:dyDescent="0.35">
      <c r="B114"/>
      <c r="C114"/>
      <c r="D114"/>
      <c r="E114"/>
      <c r="F114"/>
      <c r="G114"/>
    </row>
    <row r="115" spans="2:7" ht="20.149999999999999" customHeight="1" x14ac:dyDescent="0.35">
      <c r="B115"/>
      <c r="C115"/>
      <c r="D115"/>
      <c r="E115"/>
      <c r="F115"/>
      <c r="G115"/>
    </row>
    <row r="116" spans="2:7" ht="20.149999999999999" customHeight="1" x14ac:dyDescent="0.35">
      <c r="B116"/>
      <c r="C116"/>
      <c r="D116"/>
      <c r="E116"/>
      <c r="F116"/>
      <c r="G116"/>
    </row>
    <row r="117" spans="2:7" ht="20.149999999999999" customHeight="1" x14ac:dyDescent="0.35">
      <c r="B117"/>
      <c r="C117"/>
      <c r="D117"/>
      <c r="E117"/>
      <c r="F117"/>
      <c r="G117"/>
    </row>
    <row r="118" spans="2:7" ht="20.149999999999999" customHeight="1" x14ac:dyDescent="0.35">
      <c r="B118"/>
      <c r="C118"/>
      <c r="D118"/>
      <c r="E118"/>
      <c r="F118"/>
      <c r="G118"/>
    </row>
    <row r="119" spans="2:7" ht="20.149999999999999" customHeight="1" x14ac:dyDescent="0.35">
      <c r="B119"/>
      <c r="C119"/>
      <c r="D119"/>
      <c r="E119"/>
      <c r="F119"/>
      <c r="G119"/>
    </row>
    <row r="120" spans="2:7" ht="20.149999999999999" customHeight="1" x14ac:dyDescent="0.35">
      <c r="B120"/>
      <c r="C120"/>
      <c r="D120"/>
      <c r="E120"/>
      <c r="F120"/>
      <c r="G120"/>
    </row>
    <row r="121" spans="2:7" ht="20.149999999999999" customHeight="1" x14ac:dyDescent="0.35">
      <c r="B121"/>
      <c r="C121"/>
      <c r="D121"/>
      <c r="E121"/>
      <c r="F121"/>
      <c r="G121"/>
    </row>
    <row r="122" spans="2:7" ht="20.149999999999999" customHeight="1" x14ac:dyDescent="0.35">
      <c r="B122"/>
      <c r="C122"/>
      <c r="D122"/>
      <c r="E122"/>
      <c r="F122"/>
      <c r="G122"/>
    </row>
    <row r="123" spans="2:7" ht="20.149999999999999" customHeight="1" x14ac:dyDescent="0.35">
      <c r="B123"/>
      <c r="C123"/>
      <c r="D123"/>
      <c r="E123"/>
      <c r="F123"/>
      <c r="G123"/>
    </row>
    <row r="124" spans="2:7" ht="20.149999999999999" customHeight="1" x14ac:dyDescent="0.35">
      <c r="B124"/>
      <c r="C124"/>
      <c r="D124"/>
      <c r="E124"/>
      <c r="F124"/>
      <c r="G124"/>
    </row>
    <row r="125" spans="2:7" ht="20.149999999999999" customHeight="1" x14ac:dyDescent="0.35">
      <c r="B125"/>
      <c r="C125"/>
      <c r="D125"/>
      <c r="E125"/>
      <c r="F125"/>
      <c r="G125"/>
    </row>
    <row r="126" spans="2:7" ht="20.149999999999999" customHeight="1" x14ac:dyDescent="0.35">
      <c r="B126"/>
      <c r="C126"/>
      <c r="D126"/>
      <c r="E126"/>
      <c r="F126"/>
      <c r="G126"/>
    </row>
    <row r="127" spans="2:7" ht="20.149999999999999" customHeight="1" x14ac:dyDescent="0.35">
      <c r="B127"/>
      <c r="C127"/>
      <c r="D127"/>
      <c r="E127"/>
      <c r="F127"/>
      <c r="G127"/>
    </row>
    <row r="128" spans="2:7" ht="20.149999999999999" customHeight="1" x14ac:dyDescent="0.35">
      <c r="B128"/>
      <c r="C128"/>
      <c r="D128"/>
      <c r="E128"/>
      <c r="F128"/>
      <c r="G128"/>
    </row>
    <row r="129" spans="2:7" ht="20.149999999999999" customHeight="1" x14ac:dyDescent="0.35">
      <c r="B129"/>
      <c r="C129"/>
      <c r="D129"/>
      <c r="E129"/>
      <c r="F129"/>
      <c r="G129"/>
    </row>
    <row r="130" spans="2:7" ht="20.149999999999999" customHeight="1" x14ac:dyDescent="0.35">
      <c r="B130"/>
      <c r="C130"/>
      <c r="D130"/>
      <c r="E130"/>
      <c r="F130"/>
      <c r="G130"/>
    </row>
    <row r="131" spans="2:7" ht="20.149999999999999" customHeight="1" x14ac:dyDescent="0.35">
      <c r="B131"/>
      <c r="C131"/>
      <c r="D131"/>
      <c r="E131"/>
      <c r="F131"/>
      <c r="G131"/>
    </row>
    <row r="132" spans="2:7" ht="20.149999999999999" customHeight="1" x14ac:dyDescent="0.35">
      <c r="B132"/>
      <c r="C132"/>
      <c r="D132"/>
      <c r="E132"/>
      <c r="F132"/>
      <c r="G132"/>
    </row>
    <row r="133" spans="2:7" ht="20.149999999999999" customHeight="1" x14ac:dyDescent="0.35">
      <c r="B133"/>
      <c r="C133"/>
      <c r="D133"/>
      <c r="E133"/>
      <c r="F133"/>
      <c r="G133"/>
    </row>
    <row r="134" spans="2:7" ht="20.149999999999999" customHeight="1" x14ac:dyDescent="0.35">
      <c r="B134"/>
      <c r="C134"/>
      <c r="D134"/>
      <c r="E134"/>
      <c r="F134"/>
      <c r="G134"/>
    </row>
    <row r="135" spans="2:7" ht="20.149999999999999" customHeight="1" x14ac:dyDescent="0.35">
      <c r="B135"/>
      <c r="C135"/>
      <c r="D135"/>
      <c r="E135"/>
      <c r="F135"/>
      <c r="G135"/>
    </row>
    <row r="136" spans="2:7" ht="20.149999999999999" customHeight="1" x14ac:dyDescent="0.35">
      <c r="B136"/>
      <c r="C136"/>
      <c r="D136"/>
      <c r="E136"/>
      <c r="F136"/>
      <c r="G136"/>
    </row>
    <row r="137" spans="2:7" ht="20.149999999999999" customHeight="1" x14ac:dyDescent="0.35">
      <c r="B137"/>
      <c r="C137"/>
      <c r="D137"/>
      <c r="E137"/>
      <c r="F137"/>
      <c r="G137"/>
    </row>
    <row r="138" spans="2:7" ht="20.149999999999999" customHeight="1" x14ac:dyDescent="0.35">
      <c r="B138"/>
      <c r="C138"/>
      <c r="D138"/>
      <c r="E138"/>
      <c r="F138"/>
      <c r="G138"/>
    </row>
    <row r="139" spans="2:7" ht="20.149999999999999" customHeight="1" x14ac:dyDescent="0.35">
      <c r="B139"/>
      <c r="C139"/>
      <c r="D139"/>
      <c r="E139"/>
      <c r="F139"/>
      <c r="G139"/>
    </row>
    <row r="140" spans="2:7" ht="20.149999999999999" customHeight="1" x14ac:dyDescent="0.35">
      <c r="B140"/>
      <c r="C140"/>
      <c r="D140"/>
      <c r="E140"/>
      <c r="F140"/>
      <c r="G140"/>
    </row>
    <row r="141" spans="2:7" ht="20.149999999999999" customHeight="1" x14ac:dyDescent="0.35">
      <c r="B141"/>
      <c r="C141"/>
      <c r="D141"/>
      <c r="E141"/>
      <c r="F141"/>
      <c r="G141"/>
    </row>
    <row r="142" spans="2:7" ht="20.149999999999999" customHeight="1" x14ac:dyDescent="0.35">
      <c r="B142"/>
      <c r="C142"/>
      <c r="D142"/>
      <c r="E142"/>
      <c r="F142"/>
      <c r="G142"/>
    </row>
    <row r="143" spans="2:7" ht="20.149999999999999" customHeight="1" x14ac:dyDescent="0.35">
      <c r="B143"/>
      <c r="C143"/>
      <c r="D143"/>
      <c r="E143"/>
      <c r="F143"/>
      <c r="G143"/>
    </row>
    <row r="144" spans="2:7" ht="20.149999999999999" customHeight="1" x14ac:dyDescent="0.35">
      <c r="B144"/>
      <c r="C144"/>
      <c r="D144"/>
      <c r="E144"/>
      <c r="F144"/>
      <c r="G144"/>
    </row>
    <row r="145" spans="2:7" ht="20.149999999999999" customHeight="1" x14ac:dyDescent="0.35">
      <c r="B145"/>
      <c r="C145"/>
      <c r="D145"/>
      <c r="E145"/>
      <c r="F145"/>
      <c r="G145"/>
    </row>
    <row r="146" spans="2:7" ht="20.149999999999999" customHeight="1" x14ac:dyDescent="0.35">
      <c r="B146"/>
      <c r="C146"/>
      <c r="D146"/>
      <c r="E146"/>
      <c r="F146"/>
      <c r="G146"/>
    </row>
    <row r="147" spans="2:7" ht="20.149999999999999" customHeight="1" x14ac:dyDescent="0.35">
      <c r="B147"/>
      <c r="C147"/>
      <c r="D147"/>
      <c r="E147"/>
      <c r="F147"/>
      <c r="G147"/>
    </row>
    <row r="148" spans="2:7" ht="20.149999999999999" customHeight="1" x14ac:dyDescent="0.35">
      <c r="B148"/>
      <c r="C148"/>
      <c r="D148"/>
      <c r="E148"/>
      <c r="F148"/>
      <c r="G148"/>
    </row>
    <row r="149" spans="2:7" ht="20.149999999999999" customHeight="1" x14ac:dyDescent="0.35">
      <c r="B149"/>
      <c r="C149"/>
      <c r="D149"/>
      <c r="E149"/>
      <c r="F149"/>
      <c r="G149"/>
    </row>
    <row r="150" spans="2:7" ht="20.149999999999999" customHeight="1" x14ac:dyDescent="0.35">
      <c r="B150"/>
      <c r="C150"/>
      <c r="D150"/>
      <c r="E150"/>
      <c r="F150"/>
      <c r="G150"/>
    </row>
    <row r="151" spans="2:7" ht="20.149999999999999" customHeight="1" x14ac:dyDescent="0.35">
      <c r="B151"/>
      <c r="C151"/>
      <c r="D151"/>
      <c r="E151"/>
      <c r="F151"/>
      <c r="G151"/>
    </row>
    <row r="152" spans="2:7" ht="20.149999999999999" customHeight="1" x14ac:dyDescent="0.35">
      <c r="B152"/>
      <c r="C152"/>
      <c r="D152"/>
      <c r="E152"/>
      <c r="F152"/>
      <c r="G152"/>
    </row>
    <row r="153" spans="2:7" ht="20.149999999999999" customHeight="1" x14ac:dyDescent="0.35">
      <c r="B153"/>
      <c r="C153"/>
      <c r="D153"/>
      <c r="E153"/>
      <c r="F153"/>
      <c r="G153"/>
    </row>
    <row r="154" spans="2:7" ht="20.149999999999999" customHeight="1" x14ac:dyDescent="0.35">
      <c r="B154"/>
      <c r="C154"/>
      <c r="D154"/>
      <c r="E154"/>
      <c r="F154"/>
      <c r="G154"/>
    </row>
    <row r="155" spans="2:7" ht="20.149999999999999" customHeight="1" x14ac:dyDescent="0.35">
      <c r="B155"/>
      <c r="C155"/>
      <c r="D155"/>
      <c r="E155"/>
      <c r="F155"/>
      <c r="G155"/>
    </row>
    <row r="156" spans="2:7" ht="20.149999999999999" customHeight="1" x14ac:dyDescent="0.35">
      <c r="B156"/>
      <c r="C156"/>
      <c r="D156"/>
      <c r="E156"/>
      <c r="F156"/>
      <c r="G156"/>
    </row>
    <row r="157" spans="2:7" ht="20.149999999999999" customHeight="1" x14ac:dyDescent="0.35">
      <c r="B157"/>
      <c r="C157"/>
      <c r="D157"/>
      <c r="E157"/>
      <c r="F157"/>
      <c r="G157"/>
    </row>
    <row r="158" spans="2:7" ht="20.149999999999999" customHeight="1" x14ac:dyDescent="0.35">
      <c r="B158"/>
      <c r="C158"/>
      <c r="D158"/>
      <c r="E158"/>
      <c r="F158"/>
      <c r="G158"/>
    </row>
    <row r="159" spans="2:7" ht="20.149999999999999" customHeight="1" x14ac:dyDescent="0.35">
      <c r="B159"/>
      <c r="C159"/>
      <c r="D159"/>
      <c r="E159"/>
      <c r="F159"/>
      <c r="G159"/>
    </row>
    <row r="160" spans="2:7" ht="20.149999999999999" customHeight="1" x14ac:dyDescent="0.35">
      <c r="B160"/>
      <c r="C160"/>
      <c r="D160"/>
      <c r="E160"/>
      <c r="F160"/>
      <c r="G160"/>
    </row>
    <row r="161" spans="2:7" ht="20.149999999999999" customHeight="1" x14ac:dyDescent="0.35">
      <c r="B161"/>
      <c r="C161"/>
      <c r="D161"/>
      <c r="E161"/>
      <c r="F161"/>
      <c r="G161"/>
    </row>
    <row r="162" spans="2:7" ht="20.149999999999999" customHeight="1" x14ac:dyDescent="0.35">
      <c r="B162"/>
      <c r="C162"/>
      <c r="D162"/>
      <c r="E162"/>
      <c r="F162"/>
      <c r="G162"/>
    </row>
    <row r="163" spans="2:7" ht="20.149999999999999" customHeight="1" x14ac:dyDescent="0.35">
      <c r="B163"/>
      <c r="C163"/>
      <c r="D163"/>
      <c r="E163"/>
      <c r="F163"/>
      <c r="G163"/>
    </row>
    <row r="164" spans="2:7" ht="20.149999999999999" customHeight="1" x14ac:dyDescent="0.35">
      <c r="B164"/>
      <c r="C164"/>
      <c r="D164"/>
      <c r="E164"/>
      <c r="F164"/>
      <c r="G164"/>
    </row>
    <row r="165" spans="2:7" ht="20.149999999999999" customHeight="1" x14ac:dyDescent="0.35">
      <c r="B165"/>
      <c r="C165"/>
      <c r="D165"/>
      <c r="E165"/>
      <c r="F165"/>
      <c r="G165"/>
    </row>
    <row r="166" spans="2:7" ht="20.149999999999999" customHeight="1" x14ac:dyDescent="0.35">
      <c r="B166"/>
      <c r="C166"/>
      <c r="D166"/>
      <c r="E166"/>
      <c r="F166"/>
      <c r="G166"/>
    </row>
    <row r="167" spans="2:7" ht="20.149999999999999" customHeight="1" x14ac:dyDescent="0.35">
      <c r="B167"/>
      <c r="C167"/>
      <c r="D167"/>
      <c r="E167"/>
      <c r="F167"/>
      <c r="G167"/>
    </row>
    <row r="168" spans="2:7" ht="20.149999999999999" customHeight="1" x14ac:dyDescent="0.35">
      <c r="B168"/>
      <c r="C168"/>
      <c r="D168"/>
      <c r="E168"/>
      <c r="F168"/>
      <c r="G168"/>
    </row>
    <row r="169" spans="2:7" ht="20.149999999999999" customHeight="1" x14ac:dyDescent="0.35">
      <c r="B169"/>
      <c r="C169"/>
      <c r="D169"/>
      <c r="E169"/>
      <c r="F169"/>
      <c r="G169"/>
    </row>
    <row r="170" spans="2:7" ht="20.149999999999999" customHeight="1" x14ac:dyDescent="0.35">
      <c r="B170"/>
      <c r="C170"/>
      <c r="D170"/>
      <c r="E170"/>
      <c r="F170"/>
      <c r="G170"/>
    </row>
    <row r="171" spans="2:7" ht="20.149999999999999" customHeight="1" x14ac:dyDescent="0.35">
      <c r="B171"/>
      <c r="C171"/>
      <c r="D171"/>
      <c r="E171"/>
      <c r="F171"/>
      <c r="G171"/>
    </row>
    <row r="172" spans="2:7" ht="20.149999999999999" customHeight="1" x14ac:dyDescent="0.35">
      <c r="B172"/>
      <c r="C172"/>
      <c r="D172"/>
      <c r="E172"/>
      <c r="F172"/>
      <c r="G172"/>
    </row>
    <row r="173" spans="2:7" ht="20.149999999999999" customHeight="1" x14ac:dyDescent="0.35">
      <c r="B173"/>
      <c r="C173"/>
      <c r="D173"/>
      <c r="E173"/>
      <c r="F173"/>
      <c r="G173"/>
    </row>
    <row r="174" spans="2:7" ht="20.149999999999999" customHeight="1" x14ac:dyDescent="0.35">
      <c r="B174"/>
      <c r="C174"/>
      <c r="D174"/>
      <c r="E174"/>
      <c r="F174"/>
      <c r="G174"/>
    </row>
    <row r="175" spans="2:7" ht="20.149999999999999" customHeight="1" x14ac:dyDescent="0.35">
      <c r="B175"/>
      <c r="C175"/>
      <c r="D175"/>
      <c r="E175"/>
      <c r="F175"/>
      <c r="G175"/>
    </row>
    <row r="176" spans="2:7" ht="20.149999999999999" customHeight="1" x14ac:dyDescent="0.35">
      <c r="B176"/>
      <c r="C176"/>
      <c r="D176"/>
      <c r="E176"/>
      <c r="F176"/>
      <c r="G176"/>
    </row>
    <row r="177" spans="2:7" ht="20.149999999999999" customHeight="1" x14ac:dyDescent="0.35">
      <c r="B177"/>
      <c r="C177"/>
      <c r="D177"/>
      <c r="E177"/>
      <c r="F177"/>
      <c r="G177"/>
    </row>
    <row r="178" spans="2:7" ht="20.149999999999999" customHeight="1" x14ac:dyDescent="0.35">
      <c r="B178"/>
      <c r="C178"/>
      <c r="D178"/>
      <c r="E178"/>
      <c r="F178"/>
      <c r="G178"/>
    </row>
    <row r="179" spans="2:7" ht="20.149999999999999" customHeight="1" x14ac:dyDescent="0.35">
      <c r="B179"/>
      <c r="C179"/>
      <c r="D179"/>
      <c r="E179"/>
      <c r="F179"/>
      <c r="G179"/>
    </row>
    <row r="180" spans="2:7" ht="20.149999999999999" customHeight="1" x14ac:dyDescent="0.35">
      <c r="B180"/>
      <c r="C180"/>
      <c r="D180"/>
      <c r="E180"/>
      <c r="F180"/>
      <c r="G180"/>
    </row>
    <row r="181" spans="2:7" ht="20.149999999999999" customHeight="1" x14ac:dyDescent="0.35">
      <c r="B181"/>
      <c r="C181"/>
      <c r="D181"/>
      <c r="E181"/>
      <c r="F181"/>
      <c r="G181"/>
    </row>
    <row r="182" spans="2:7" ht="20.149999999999999" customHeight="1" x14ac:dyDescent="0.35">
      <c r="B182"/>
      <c r="C182"/>
      <c r="D182"/>
      <c r="E182"/>
      <c r="F182"/>
      <c r="G182"/>
    </row>
    <row r="183" spans="2:7" ht="20.149999999999999" customHeight="1" x14ac:dyDescent="0.35">
      <c r="B183"/>
      <c r="C183"/>
      <c r="D183"/>
      <c r="E183"/>
      <c r="F183"/>
      <c r="G183"/>
    </row>
    <row r="184" spans="2:7" ht="20.149999999999999" customHeight="1" x14ac:dyDescent="0.35">
      <c r="B184"/>
      <c r="C184"/>
      <c r="D184"/>
      <c r="E184"/>
      <c r="F184"/>
      <c r="G184"/>
    </row>
    <row r="185" spans="2:7" ht="20.149999999999999" customHeight="1" x14ac:dyDescent="0.35">
      <c r="B185"/>
      <c r="C185"/>
      <c r="D185"/>
      <c r="E185"/>
      <c r="F185"/>
      <c r="G185"/>
    </row>
    <row r="186" spans="2:7" ht="20.149999999999999" customHeight="1" x14ac:dyDescent="0.35">
      <c r="B186"/>
      <c r="C186"/>
      <c r="D186"/>
      <c r="E186"/>
      <c r="F186"/>
      <c r="G186"/>
    </row>
    <row r="187" spans="2:7" ht="20.149999999999999" customHeight="1" x14ac:dyDescent="0.35">
      <c r="B187"/>
      <c r="C187"/>
      <c r="D187"/>
      <c r="E187"/>
      <c r="F187"/>
      <c r="G187"/>
    </row>
    <row r="188" spans="2:7" ht="20.149999999999999" customHeight="1" x14ac:dyDescent="0.35">
      <c r="B188"/>
      <c r="C188"/>
      <c r="D188"/>
      <c r="E188"/>
      <c r="F188"/>
      <c r="G188"/>
    </row>
    <row r="189" spans="2:7" ht="20.149999999999999" customHeight="1" x14ac:dyDescent="0.35">
      <c r="B189"/>
      <c r="C189"/>
      <c r="D189"/>
      <c r="E189"/>
      <c r="F189"/>
      <c r="G189"/>
    </row>
    <row r="190" spans="2:7" ht="20.149999999999999" customHeight="1" x14ac:dyDescent="0.35">
      <c r="B190"/>
      <c r="C190"/>
      <c r="D190"/>
      <c r="E190"/>
      <c r="F190"/>
      <c r="G190"/>
    </row>
  </sheetData>
  <protectedRanges>
    <protectedRange sqref="C65:K67 C62:K63" name="STATO_PATRIMONIALE_1"/>
    <protectedRange sqref="E56 N18:AC20 N22:AC29 N32:AC34 N36:AC36 N47:T47 N50:T52 P53:Q54 N55:T55 N57:T57 N59:O59" name="FLUSSI_CASSA"/>
    <protectedRange sqref="C43:K47 C59:K60 C56:K57 C50:K53 C40:K41 C34:K38 C28:K32 C20:K26 C17:K17" name="STATO_PATRIMONIALE"/>
    <protectedRange sqref="C10" name="ANNO_REGIME"/>
    <protectedRange sqref="E56 N18:AC20 N22:AC29 N32:AC34 N36:AC36" name="CONTO_ECONOMICO"/>
  </protectedRanges>
  <mergeCells count="11">
    <mergeCell ref="N10:V12"/>
    <mergeCell ref="N16:O16"/>
    <mergeCell ref="P16:Q16"/>
    <mergeCell ref="R16:S16"/>
    <mergeCell ref="T16:U16"/>
    <mergeCell ref="V16:W16"/>
    <mergeCell ref="X16:Y16"/>
    <mergeCell ref="Z16:AA16"/>
    <mergeCell ref="AB16:AC16"/>
    <mergeCell ref="AD16:AE16"/>
    <mergeCell ref="N49:T49"/>
  </mergeCells>
  <conditionalFormatting sqref="AE17:AE37">
    <cfRule type="expression" dxfId="375" priority="162">
      <formula>$C$2&lt;&gt;""</formula>
    </cfRule>
  </conditionalFormatting>
  <conditionalFormatting sqref="AD17:AE37">
    <cfRule type="expression" dxfId="374" priority="161">
      <formula>$AD$14=""</formula>
    </cfRule>
  </conditionalFormatting>
  <conditionalFormatting sqref="AE34">
    <cfRule type="expression" dxfId="373" priority="151">
      <formula>$C$2&lt;&gt;""</formula>
    </cfRule>
  </conditionalFormatting>
  <conditionalFormatting sqref="AD15:AE16">
    <cfRule type="cellIs" dxfId="372" priority="144" operator="notEqual">
      <formula>""</formula>
    </cfRule>
  </conditionalFormatting>
  <conditionalFormatting sqref="C62:K67">
    <cfRule type="expression" dxfId="371" priority="54">
      <formula>se+$K$15=""</formula>
    </cfRule>
  </conditionalFormatting>
  <conditionalFormatting sqref="K62:K67">
    <cfRule type="expression" dxfId="370" priority="53">
      <formula>$K$15=""</formula>
    </cfRule>
  </conditionalFormatting>
  <conditionalFormatting sqref="J62:J67">
    <cfRule type="expression" dxfId="369" priority="52">
      <formula>$J$15=""</formula>
    </cfRule>
  </conditionalFormatting>
  <conditionalFormatting sqref="I62:I67">
    <cfRule type="expression" dxfId="368" priority="51">
      <formula>$I$15=""</formula>
    </cfRule>
  </conditionalFormatting>
  <conditionalFormatting sqref="H62:H67">
    <cfRule type="expression" dxfId="367" priority="50">
      <formula>$H$15=""</formula>
    </cfRule>
  </conditionalFormatting>
  <conditionalFormatting sqref="G62:G67">
    <cfRule type="expression" dxfId="366" priority="49">
      <formula>$G$15=""</formula>
    </cfRule>
  </conditionalFormatting>
  <conditionalFormatting sqref="F62:F67">
    <cfRule type="expression" dxfId="365" priority="48">
      <formula>$F$15=""</formula>
    </cfRule>
  </conditionalFormatting>
  <conditionalFormatting sqref="E62:E67">
    <cfRule type="expression" dxfId="364" priority="47">
      <formula>$E$15=""</formula>
    </cfRule>
  </conditionalFormatting>
  <conditionalFormatting sqref="C16:K61">
    <cfRule type="expression" dxfId="363" priority="30">
      <formula>se+$K$15=""</formula>
    </cfRule>
  </conditionalFormatting>
  <conditionalFormatting sqref="K16:K61">
    <cfRule type="expression" dxfId="362" priority="29">
      <formula>$K$15=""</formula>
    </cfRule>
  </conditionalFormatting>
  <conditionalFormatting sqref="J16:J61">
    <cfRule type="expression" dxfId="361" priority="28">
      <formula>$J$15=""</formula>
    </cfRule>
  </conditionalFormatting>
  <conditionalFormatting sqref="I16:I61">
    <cfRule type="expression" dxfId="360" priority="27">
      <formula>$I$15=""</formula>
    </cfRule>
  </conditionalFormatting>
  <conditionalFormatting sqref="H16:H61">
    <cfRule type="expression" dxfId="359" priority="26">
      <formula>$H$15=""</formula>
    </cfRule>
  </conditionalFormatting>
  <conditionalFormatting sqref="G16:G61">
    <cfRule type="expression" dxfId="358" priority="25">
      <formula>$G$15=""</formula>
    </cfRule>
  </conditionalFormatting>
  <conditionalFormatting sqref="F16:F61">
    <cfRule type="expression" dxfId="357" priority="24">
      <formula>$F$15=""</formula>
    </cfRule>
  </conditionalFormatting>
  <conditionalFormatting sqref="E16:E61">
    <cfRule type="expression" dxfId="356" priority="23">
      <formula>$E$15=""</formula>
    </cfRule>
  </conditionalFormatting>
  <conditionalFormatting sqref="O17:O37 Q17:Q37 S17:S37 U17:U37 W17:W37 Y17:Y37 AA17:AA37 AC17:AC37">
    <cfRule type="expression" dxfId="355" priority="22">
      <formula>$C$2&lt;&gt;""</formula>
    </cfRule>
  </conditionalFormatting>
  <conditionalFormatting sqref="AB36:AC36 AB17:AC20 AB22:AC30">
    <cfRule type="expression" priority="21">
      <formula>$AB$14=""</formula>
    </cfRule>
  </conditionalFormatting>
  <conditionalFormatting sqref="X17:Y37">
    <cfRule type="expression" dxfId="354" priority="19">
      <formula>$X$14=""</formula>
    </cfRule>
  </conditionalFormatting>
  <conditionalFormatting sqref="V17:W37">
    <cfRule type="expression" dxfId="353" priority="18">
      <formula>$V$14=""</formula>
    </cfRule>
  </conditionalFormatting>
  <conditionalFormatting sqref="T17:U17 T21:U21 U18:U20 T30:U32 U22:U29 T34:U37 U33">
    <cfRule type="expression" dxfId="352" priority="17">
      <formula>$T$14=""</formula>
    </cfRule>
  </conditionalFormatting>
  <conditionalFormatting sqref="R17:S32 R34:S37 S33">
    <cfRule type="expression" dxfId="351" priority="16">
      <formula>$R$14=""</formula>
    </cfRule>
  </conditionalFormatting>
  <conditionalFormatting sqref="P36:Q36 P17:Q20 P22:Q30">
    <cfRule type="expression" dxfId="350" priority="15">
      <formula>$P$14=""</formula>
    </cfRule>
  </conditionalFormatting>
  <conditionalFormatting sqref="Z17:AA37">
    <cfRule type="expression" dxfId="349" priority="14">
      <formula>$Z$14=""</formula>
    </cfRule>
  </conditionalFormatting>
  <conditionalFormatting sqref="U34 S34 Q34">
    <cfRule type="expression" dxfId="348" priority="13">
      <formula>$C$2&lt;&gt;""</formula>
    </cfRule>
  </conditionalFormatting>
  <conditionalFormatting sqref="AC34 AA34 Y34 W34">
    <cfRule type="expression" dxfId="347" priority="12">
      <formula>$C$2&lt;&gt;""</formula>
    </cfRule>
  </conditionalFormatting>
  <conditionalFormatting sqref="AB17:AC37">
    <cfRule type="expression" dxfId="346" priority="20">
      <formula>$AB$14=""</formula>
    </cfRule>
  </conditionalFormatting>
  <conditionalFormatting sqref="O17:O37">
    <cfRule type="expression" dxfId="345" priority="11">
      <formula>$O$13&lt;0</formula>
    </cfRule>
  </conditionalFormatting>
  <conditionalFormatting sqref="Q17:Q37">
    <cfRule type="expression" dxfId="344" priority="10">
      <formula>$Q$13&lt;0</formula>
    </cfRule>
  </conditionalFormatting>
  <conditionalFormatting sqref="S17:S37">
    <cfRule type="expression" dxfId="343" priority="9">
      <formula>$S$13&lt;0</formula>
    </cfRule>
  </conditionalFormatting>
  <conditionalFormatting sqref="T43:T48 T50:T60">
    <cfRule type="expression" dxfId="342" priority="8">
      <formula>$T$41=""</formula>
    </cfRule>
  </conditionalFormatting>
  <conditionalFormatting sqref="S43:S48 S50:S60">
    <cfRule type="expression" dxfId="341" priority="7">
      <formula>$S$41=""</formula>
    </cfRule>
  </conditionalFormatting>
  <conditionalFormatting sqref="N10:V12">
    <cfRule type="expression" dxfId="340" priority="6">
      <formula>$N$10&lt;&gt;""</formula>
    </cfRule>
  </conditionalFormatting>
  <conditionalFormatting sqref="N15:AC16">
    <cfRule type="cellIs" dxfId="339" priority="5" operator="notEqual">
      <formula>""</formula>
    </cfRule>
  </conditionalFormatting>
  <conditionalFormatting sqref="C13:K13">
    <cfRule type="cellIs" dxfId="338" priority="4" operator="notEqual">
      <formula>""</formula>
    </cfRule>
  </conditionalFormatting>
  <conditionalFormatting sqref="N41:T41">
    <cfRule type="cellIs" dxfId="337" priority="3" operator="notEqual">
      <formula>""</formula>
    </cfRule>
  </conditionalFormatting>
  <conditionalFormatting sqref="H40:I40">
    <cfRule type="expression" dxfId="336" priority="2">
      <formula>$G$15=""</formula>
    </cfRule>
  </conditionalFormatting>
  <conditionalFormatting sqref="H40:I40">
    <cfRule type="expression" dxfId="335" priority="1">
      <formula>$G$15=""</formula>
    </cfRule>
  </conditionalFormatting>
  <dataValidations count="1">
    <dataValidation type="list" allowBlank="1" showInputMessage="1" showErrorMessage="1" sqref="C10" xr:uid="{806E4348-6693-4282-8D12-245510C12069}">
      <formula1>"3,4,5"</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E4EE98-EFCC-4B79-AB20-77D043C52861}">
  <sheetPr codeName="Foglio5">
    <tabColor rgb="FF92D050"/>
  </sheetPr>
  <dimension ref="A1:J38"/>
  <sheetViews>
    <sheetView topLeftCell="A19" zoomScale="90" zoomScaleNormal="90" workbookViewId="0">
      <selection activeCell="D20" sqref="D20"/>
    </sheetView>
  </sheetViews>
  <sheetFormatPr defaultRowHeight="14.5" x14ac:dyDescent="0.35"/>
  <cols>
    <col min="1" max="1" width="48.26953125" customWidth="1"/>
    <col min="2" max="2" width="65" customWidth="1"/>
    <col min="3" max="3" width="19.1796875" customWidth="1"/>
    <col min="4" max="4" width="16.453125" customWidth="1"/>
    <col min="6" max="6" width="9.7265625" customWidth="1"/>
    <col min="10" max="10" width="11.54296875" bestFit="1" customWidth="1"/>
  </cols>
  <sheetData>
    <row r="1" spans="1:10" ht="18" thickBot="1" x14ac:dyDescent="0.4">
      <c r="A1" s="132" t="s">
        <v>134</v>
      </c>
      <c r="B1" s="1642" t="s">
        <v>135</v>
      </c>
      <c r="C1" s="1642"/>
      <c r="D1" s="1642"/>
      <c r="E1" s="1642"/>
      <c r="F1" s="1643"/>
    </row>
    <row r="2" spans="1:10" ht="23.5" x14ac:dyDescent="0.35">
      <c r="A2" s="141" t="s">
        <v>136</v>
      </c>
      <c r="B2" s="133"/>
      <c r="C2" s="1644"/>
      <c r="D2" s="134"/>
      <c r="E2" s="135" t="s">
        <v>137</v>
      </c>
      <c r="F2" s="1646"/>
    </row>
    <row r="3" spans="1:10" ht="23.5" x14ac:dyDescent="0.35">
      <c r="A3" s="136" t="s">
        <v>138</v>
      </c>
      <c r="B3" s="133"/>
      <c r="C3" s="1644"/>
      <c r="D3" s="137"/>
      <c r="E3" s="138" t="s">
        <v>137</v>
      </c>
      <c r="F3" s="1646"/>
    </row>
    <row r="4" spans="1:10" ht="23.5" x14ac:dyDescent="0.35">
      <c r="A4" s="139" t="s">
        <v>139</v>
      </c>
      <c r="B4" s="133"/>
      <c r="C4" s="1644"/>
      <c r="D4" s="137"/>
      <c r="E4" s="138"/>
      <c r="F4" s="1646"/>
    </row>
    <row r="5" spans="1:10" ht="33" x14ac:dyDescent="0.35">
      <c r="A5" s="139">
        <v>0</v>
      </c>
      <c r="B5" s="133" t="s">
        <v>140</v>
      </c>
      <c r="C5" s="1644"/>
      <c r="D5" s="137" t="str">
        <f>+IFERROR(+IF(AND(Analisi!$AS$15=6,COUNT(E6)=0),"X",""),"")</f>
        <v/>
      </c>
      <c r="E5" s="138" t="str">
        <f>+IF(D5="x",6,"")</f>
        <v/>
      </c>
      <c r="F5" s="1646"/>
    </row>
    <row r="6" spans="1:10" ht="33" x14ac:dyDescent="0.35">
      <c r="A6" s="139">
        <v>0</v>
      </c>
      <c r="B6" s="133" t="s">
        <v>141</v>
      </c>
      <c r="C6" s="1644"/>
      <c r="D6" s="137" t="str">
        <f>+IF(AND(DATEDIF('Dati riepilogativi'!B5,'Dati riepilogativi'!B4,"M")&lt;=24,E7&lt;&gt;6),"X","")</f>
        <v/>
      </c>
      <c r="E6" s="138" t="str">
        <f>+IF(D6="x",6,"")</f>
        <v/>
      </c>
      <c r="F6" s="1646"/>
    </row>
    <row r="7" spans="1:10" ht="33" x14ac:dyDescent="0.35">
      <c r="A7" s="136">
        <v>0</v>
      </c>
      <c r="B7" s="133" t="s">
        <v>142</v>
      </c>
      <c r="C7" s="1644"/>
      <c r="D7" s="137" t="str">
        <f>+IF('Dati riepilogativi'!$B$4='Dati riepilogativi'!$B$5,"X","")</f>
        <v>X</v>
      </c>
      <c r="E7" s="138">
        <f>+IF(D7="x",6,"")</f>
        <v>6</v>
      </c>
      <c r="F7" s="1646"/>
      <c r="J7" s="315"/>
    </row>
    <row r="8" spans="1:10" ht="33" x14ac:dyDescent="0.35">
      <c r="A8" s="314" t="s">
        <v>143</v>
      </c>
      <c r="B8" s="133" t="s">
        <v>144</v>
      </c>
      <c r="C8" s="1644"/>
      <c r="D8" s="137" t="str">
        <f>+IFERROR(+IF(AND(Analisi!$AS$15=5,COUNT(E6)=0),"x",""),"")</f>
        <v/>
      </c>
      <c r="E8" s="138" t="str">
        <f>+IF(D8="x",5,"")</f>
        <v/>
      </c>
      <c r="F8" s="1646"/>
      <c r="J8" s="315"/>
    </row>
    <row r="9" spans="1:10" ht="33.5" thickBot="1" x14ac:dyDescent="0.4">
      <c r="A9" s="140" t="s">
        <v>145</v>
      </c>
      <c r="B9" s="133" t="s">
        <v>146</v>
      </c>
      <c r="C9" s="1645"/>
      <c r="D9" s="137" t="str">
        <f>IFERROR(+IF(AND(Analisi!$AS$15=4,COUNT(E6)=0),"x",""),"")</f>
        <v/>
      </c>
      <c r="E9" s="138" t="str">
        <f>+IF(D9="x",4,"")</f>
        <v/>
      </c>
      <c r="F9" s="1647"/>
      <c r="J9" s="316"/>
    </row>
    <row r="10" spans="1:10" ht="18" thickBot="1" x14ac:dyDescent="0.4">
      <c r="A10" s="132" t="s">
        <v>134</v>
      </c>
      <c r="B10" s="1642" t="s">
        <v>135</v>
      </c>
      <c r="C10" s="1642"/>
      <c r="D10" s="1642"/>
      <c r="E10" s="1642"/>
      <c r="F10" s="1643"/>
    </row>
    <row r="11" spans="1:10" ht="33" x14ac:dyDescent="0.35">
      <c r="A11" s="141" t="s">
        <v>136</v>
      </c>
      <c r="B11" s="247" t="s">
        <v>147</v>
      </c>
      <c r="C11" s="1644"/>
      <c r="D11" s="134" t="str">
        <f>+IF(Analisi!$BL$34&gt;=9,"X","")</f>
        <v/>
      </c>
      <c r="E11" s="135" t="str">
        <f>+IF(D11="x",10,"")</f>
        <v/>
      </c>
      <c r="F11" s="1646"/>
    </row>
    <row r="12" spans="1:10" ht="33" x14ac:dyDescent="0.35">
      <c r="A12" s="136" t="s">
        <v>138</v>
      </c>
      <c r="B12" s="247" t="s">
        <v>148</v>
      </c>
      <c r="C12" s="1644"/>
      <c r="D12" s="137" t="str">
        <f>+IF(Analisi!$BL$34=8,"X","")</f>
        <v/>
      </c>
      <c r="E12" s="138" t="str">
        <f>+IF(D12="x",8,"")</f>
        <v/>
      </c>
      <c r="F12" s="1646"/>
    </row>
    <row r="13" spans="1:10" ht="33" x14ac:dyDescent="0.35">
      <c r="A13" s="139" t="s">
        <v>139</v>
      </c>
      <c r="B13" s="247" t="s">
        <v>149</v>
      </c>
      <c r="C13" s="1644"/>
      <c r="D13" s="137" t="str">
        <f>+IF(Analisi!$BL$34=7,"X","")</f>
        <v/>
      </c>
      <c r="E13" s="138" t="str">
        <f>+IF(D13="x",7,"")</f>
        <v/>
      </c>
      <c r="F13" s="1646"/>
    </row>
    <row r="14" spans="1:10" ht="33" x14ac:dyDescent="0.35">
      <c r="A14" s="139">
        <v>0</v>
      </c>
      <c r="B14" s="247" t="s">
        <v>150</v>
      </c>
      <c r="C14" s="1644"/>
      <c r="D14" s="137" t="str">
        <f>+IF(Analisi!$BL$34=6,"X","")</f>
        <v/>
      </c>
      <c r="E14" s="138" t="str">
        <f>+IF(D14="x",6,"")</f>
        <v/>
      </c>
      <c r="F14" s="1646"/>
    </row>
    <row r="15" spans="1:10" ht="82.5" customHeight="1" x14ac:dyDescent="0.35">
      <c r="A15" s="139" t="s">
        <v>143</v>
      </c>
      <c r="B15" s="247" t="str">
        <f>+_xlfn.CONCAT("I principali indicatori economico finanziari calcolati sulla base dei dati storici forniti mostrano una scarsa solidità di impresa. In particolare, i seguenti rapporti patrimoniali ed economici evidenziano valori critici: ",IF(Analisi!$BE$34&lt;6,Analisi!$BD$14,),"; ",IF(Analisi!$BG$34&lt;6,Analisi!$BF$14,),"; ",IF(Analisi!$BI$34&lt;6,Analisi!$BH$14,),"; ",IF(Analisi!$BK$34&lt;6,Analisi!$BJ$14,))</f>
        <v>I principali indicatori economico finanziari calcolati sulla base dei dati storici forniti mostrano una scarsa solidità di impresa. In particolare, i seguenti rapporti patrimoniali ed economici evidenziano valori critici: (MEZZI PROPRI + DEB a M/L)/ Immobilizzazioni; MEZZI PROPRI 
/ TOT PASSIVO; INDEB.TO FIN NETTO
/ MOL; MOL / VAL. PROD</v>
      </c>
      <c r="C15" s="1644"/>
      <c r="D15" s="137" t="str">
        <f>+IF(Analisi!$BL$34=5,"X","")</f>
        <v/>
      </c>
      <c r="E15" s="138" t="str">
        <f>+IF(D15="x",5,"")</f>
        <v/>
      </c>
      <c r="F15" s="1646"/>
    </row>
    <row r="16" spans="1:10" ht="82.5" customHeight="1" x14ac:dyDescent="0.35">
      <c r="A16" s="136" t="s">
        <v>145</v>
      </c>
      <c r="B16" s="247" t="str">
        <f>+_xlfn.CONCAT("I principali indicatori economico finanziari calcolatio sulla base dei dati storici forniti mostrano un'insufficiente solidità di impresa. In particolare, i seguenti rapporti patrimoniali ed economici evidenziano valori critici: ",IF(Analisi!$BE$34&lt;6,Analisi!$BD$14,),"; ",IF(Analisi!$BG$34&lt;6,Analisi!$BF$14,),"; ",IF(Analisi!$BI$34&lt;6,Analisi!$BH$14,),"; ",IF(Analisi!$BK$34&lt;6,Analisi!$BJ$14,))</f>
        <v>I principali indicatori economico finanziari calcolatio sulla base dei dati storici forniti mostrano un'insufficiente solidità di impresa. In particolare, i seguenti rapporti patrimoniali ed economici evidenziano valori critici: (MEZZI PROPRI + DEB a M/L)/ Immobilizzazioni; MEZZI PROPRI 
/ TOT PASSIVO; INDEB.TO FIN NETTO
/ MOL; MOL / VAL. PROD</v>
      </c>
      <c r="C16" s="1644"/>
      <c r="D16" s="137" t="str">
        <f>+IF(Analisi!$BL$34=4,"X","")</f>
        <v/>
      </c>
      <c r="E16" s="138" t="str">
        <f>+IF(D16="x",4,"")</f>
        <v/>
      </c>
      <c r="F16" s="1646"/>
    </row>
    <row r="17" spans="1:6" ht="66" customHeight="1" thickBot="1" x14ac:dyDescent="0.4">
      <c r="A17" s="140" t="s">
        <v>151</v>
      </c>
      <c r="B17" s="247" t="str">
        <f>+_xlfn.CONCAT("I principali indicatori economico finanziari calcolatio sulla base dei dati storici forniti mostrano una grave mancanza di solidità di impresa. In particolare, i seguenti rapporti patrimoniali ed economici evidenziano valori critici: ",IF(Analisi!$BE$34&lt;6,Analisi!$BD$14,),"; ",IF(Analisi!$BG$34&lt;6,Analisi!$BF$14,),"; ",IF(Analisi!$BI$34&lt;6,Analisi!$BH$14,),"; ",IF(Analisi!$BK$34&lt;6,Analisi!$BJ$14,))</f>
        <v>I principali indicatori economico finanziari calcolatio sulla base dei dati storici forniti mostrano una grave mancanza di solidità di impresa. In particolare, i seguenti rapporti patrimoniali ed economici evidenziano valori critici: (MEZZI PROPRI + DEB a M/L)/ Immobilizzazioni; MEZZI PROPRI 
/ TOT PASSIVO; INDEB.TO FIN NETTO
/ MOL; MOL / VAL. PROD</v>
      </c>
      <c r="C17" s="1645"/>
      <c r="D17" s="137" t="str">
        <f>+IF(Analisi!$BL$34&lt;=3,"X","")</f>
        <v>X</v>
      </c>
      <c r="E17" s="138" t="str">
        <f>+IF(D16="x",3,"")</f>
        <v/>
      </c>
      <c r="F17" s="1647"/>
    </row>
    <row r="18" spans="1:6" ht="18" thickBot="1" x14ac:dyDescent="0.4">
      <c r="A18" s="111" t="s">
        <v>134</v>
      </c>
      <c r="B18" s="1648" t="s">
        <v>152</v>
      </c>
      <c r="C18" s="1648"/>
      <c r="D18" s="1648"/>
      <c r="E18" s="1648"/>
      <c r="F18" s="1649"/>
    </row>
    <row r="19" spans="1:6" ht="23.5" x14ac:dyDescent="0.35">
      <c r="A19" s="112" t="s">
        <v>136</v>
      </c>
      <c r="B19" s="248" t="e">
        <f>+IF('Dati riepilogativi'!$B$2="Capo II","La capacità restitutoria stimata,espressa dal rapporto tra il MOL e il valore complessivo degli oneri finanziari, è maggiore di 1,2",_xlfn.CONCAT("La capacità restitutoria, espressa dal rapporto tra il MOL e il valore complessivo degli oneri finanziari, è pari a ",ROUND(Analisi!$O$9,1)," per l'impresa nel suo complesso e pari a ",ROUND(Analisi!$O$10,1)," per il progetto presentato a finanziamento"))</f>
        <v>#VALUE!</v>
      </c>
      <c r="C19" s="1650"/>
      <c r="D19" s="114" t="str">
        <f>+IF(OR(AND('Dati riepilogativi'!$B$2="Capo III",Analisi!$BZ$7&gt;=9),AND('Dati riepilogativi'!$B$2="Capo II",Analisi!$BB$7&gt;=9)),"x","")</f>
        <v>x</v>
      </c>
      <c r="E19" s="115">
        <f>+IF(D19="x",10,"")</f>
        <v>10</v>
      </c>
      <c r="F19" s="1652"/>
    </row>
    <row r="20" spans="1:6" ht="23.5" x14ac:dyDescent="0.35">
      <c r="A20" s="116" t="s">
        <v>138</v>
      </c>
      <c r="B20" s="248" t="e">
        <f>+IF('Dati riepilogativi'!$B$2="Capo II","La capacità restitutoria stimata, espressa dal rapporto tra il MOL e il valore complessivo degli oneri finanziari, è compresa tra 1,1 e 1,2",_xlfn.CONCAT("La capacità restitutoria, espressa dal rapporto tra il MOL e il valore complessivo degli oneri finanziari, è pari a ",ROUND(Analisi!$O$9,1)," per l'impresa nel suo complesso e pari a ",ROUND(Analisi!$O$10,1)," per il progetto presentato a finanziamento"))</f>
        <v>#VALUE!</v>
      </c>
      <c r="C20" s="1650"/>
      <c r="D20" s="114" t="str">
        <f>+IF(OR(AND('Dati riepilogativi'!$B$2="Capo III",Analisi!$BZ$7=8),AND('Dati riepilogativi'!$B$2="Capo II",Analisi!$BB$7=8)),"x","")</f>
        <v/>
      </c>
      <c r="E20" s="115" t="str">
        <f>+IF(D20="x",8,"")</f>
        <v/>
      </c>
      <c r="F20" s="1652"/>
    </row>
    <row r="21" spans="1:6" ht="23.5" x14ac:dyDescent="0.35">
      <c r="A21" s="117" t="s">
        <v>139</v>
      </c>
      <c r="B21" s="248" t="e">
        <f>+IF('Dati riepilogativi'!$B$2="Capo II","La capacità restitutoria stimata, espressa dal rapporto tra il MOL e il valore complessivo degli oneri finanziari, è compresa tra 1 e 1,1",_xlfn.CONCAT("La capacità restitutoria, espressa dal rapporto tra il MOL e il valore complessivo degli oneri finanziari, è pari a ",ROUND(Analisi!$O$9,1)," per l'impresa nel suo complesso e pari a ",ROUND(Analisi!$O$10,1)," per il progetto presentato a finanziamento"))</f>
        <v>#VALUE!</v>
      </c>
      <c r="C21" s="1650"/>
      <c r="D21" s="114" t="str">
        <f>+IF(OR(AND('Dati riepilogativi'!$B$2="Capo III",Analisi!$BZ$7=7),AND('Dati riepilogativi'!$B$2="Capo II",Analisi!$BB$7=7)),"x","")</f>
        <v/>
      </c>
      <c r="E21" s="115" t="str">
        <f>+IF(D21="x",7,"")</f>
        <v/>
      </c>
      <c r="F21" s="1652"/>
    </row>
    <row r="22" spans="1:6" ht="23.5" x14ac:dyDescent="0.35">
      <c r="A22" s="117">
        <v>0</v>
      </c>
      <c r="B22" s="248" t="e">
        <f>+IF('Dati riepilogativi'!$B$2="Capo II","La capacità restitutoria stimata, espressa dal rapporto tra il MOL e il valore complessivo degli oneri finanziari, è pari ad 1",_xlfn.CONCAT("La capacità restitutoria, espressa dal rapporto tra il MOL e il valore complessivo degli oneri finanziari, è pari a ",ROUND(Analisi!$O$9,1)," per l'impresa nel suo complesso e pari a ",ROUND(Analisi!$O$10,1)," per il progetto presentato a finanziamento"))</f>
        <v>#VALUE!</v>
      </c>
      <c r="C22" s="1650"/>
      <c r="D22" s="114" t="str">
        <f>+IF(OR(AND('Dati riepilogativi'!$B$2="Capo III",Analisi!$BZ$7=6),AND('Dati riepilogativi'!$B$2="Capo II",Analisi!$BB$7=6)),"x","")</f>
        <v/>
      </c>
      <c r="E22" s="115" t="str">
        <f>+IF(D22="x",6,"")</f>
        <v/>
      </c>
      <c r="F22" s="1652"/>
    </row>
    <row r="23" spans="1:6" ht="23.5" x14ac:dyDescent="0.35">
      <c r="A23" s="116" t="s">
        <v>145</v>
      </c>
      <c r="B23" s="248" t="e">
        <f>+IF('Dati riepilogativi'!$B$2="Capo II",_xlfn.CONCAT("La capacità restitutoria stimata, espressa dal rapporto tra il MOL e il valore complessivo degli oneri finanziari, è compresa tra 0,8 e 1. "," ","Pertanto, non è garantita la capacità dell'azienda di generare flussi di cassa adeguati alle esigenze restitutorie derivanti dal finanziamento agevolato e dai finanziamenti a M/L termine previsti ai fini della realizzazione del programma di investimenti"),_xlfn.CONCAT("La capacità restitutoria, espressa dal rapporto tra il MOL e il valore complessivo degli oneri finanziari, è pari a ",ROUND(Analisi!$O$9,1)," per l'impresa nel suo complesso e pari a ",ROUND(Analisi!$O$10,1)," per il progetto presentato a finanziamento.","Pertanto, non è garantita la capacità dell'azienda nel suo complesso di generare flussi di cassa adeguati alle esigenze restitutorie"," derivanti dal finanziamento agevolato e dagli eventuali finanziamenti a M/L termine in essere e/o previsti ai fini della realizzazione del programma di investimenti."))</f>
        <v>#VALUE!</v>
      </c>
      <c r="C23" s="1650"/>
      <c r="D23" s="114" t="str">
        <f>+IF(OR(AND('Dati riepilogativi'!$B$2="Capo III",Analisi!$BZ$7=5),AND('Dati riepilogativi'!$B$2="Capo II",Analisi!$BB$7=5)),"x","")</f>
        <v/>
      </c>
      <c r="E23" s="115" t="str">
        <f>+IF(D23="x",4,"")</f>
        <v/>
      </c>
      <c r="F23" s="1652"/>
    </row>
    <row r="24" spans="1:6" ht="23.5" x14ac:dyDescent="0.35">
      <c r="A24" s="116" t="s">
        <v>145</v>
      </c>
      <c r="B24" s="248" t="e">
        <f>+IF('Dati riepilogativi'!$B$2="Capo II",_xlfn.CONCAT("La capacità restitutoria stimata, espressa dal rapporto tra il MOL e il valore complessivo degli oneri finanziari, è compresa tra 0,6 e 0,8."," ","Pertanto, non è garantita la capacità dell'azienda di generare flussi di cassa adeguati alle esigenze restitutorie derivanti dal finanziamento agevolato e dai finanziamenti a M/L termine previsti ai fini della realizzazione del programma di investimenti"),_xlfn.CONCAT("La capacità restitutoria, espressa dal rapporto tra il MOL e il valore complessivo degli oneri finanziari, è pari a ",ROUND(Analisi!$O$9,1)," per l'impresa nel suo complesso e pari a ",ROUND(Analisi!$O$10,1)," per il progetto presentato a finanziamento.","Pertanto, non è garantita la capacità dell'azienda nel suo complesso di generare flussi di cassa adeguati alle esigenze restitutorie"," derivanti dal finanziamento agevolato e dagli eventuali finanziamenti a M/L termine in essere e/o previsti ai fini della realizzazione del programma di investimenti."))</f>
        <v>#VALUE!</v>
      </c>
      <c r="C24" s="1650"/>
      <c r="D24" s="114" t="str">
        <f>+IF(OR(AND('Dati riepilogativi'!$B$2="Capo III",Analisi!$BZ$7=4),AND('Dati riepilogativi'!$B$2="Capo II",Analisi!$BB$7=4)),"x","")</f>
        <v/>
      </c>
      <c r="E24" s="115" t="str">
        <f>+IF(D24="x",4,"")</f>
        <v/>
      </c>
      <c r="F24" s="1652"/>
    </row>
    <row r="25" spans="1:6" ht="24" thickBot="1" x14ac:dyDescent="0.4">
      <c r="A25" s="118" t="s">
        <v>151</v>
      </c>
      <c r="B25" s="113" t="e">
        <f>+IF('Dati riepilogativi'!$B$2="Capo II",_xlfn.CONCAT("La capacità restitutoria stimata, espressa dal rapporto tra il MOL e il valore complessivo degli oneri finanziari, è minore di 0,6"," ","Pertanto, non è garantita la capacità dell'azienda di generare flussi di cassa adeguati alle esigenze restitutorie derivanti dal finanziamento agevolato e dai finanziamenti a M/L termine previsti ai fini della realizzazione del programma di investimenti"),_xlfn.CONCAT("La capacità restitutoria, espressa dal rapporto tra il MOL e il valore complessivo degli oneri finanziari, è pari a ",ROUND(Analisi!$O$9,1)," per l'impresa nel suo complesso e pari a ",ROUND(Analisi!$O$10,1)," per il progetto presentato a finanziamento.","Pertanto, non è garantita la capacità dell'azienda nel suo complesso di generare flussi di cassa adeguati alle esigenze restitutorie"," derivanti dal finanziamento agevolato e dagli eventuali finanziamenti a M/L termine in essere e/o previsti ai fini della realizzazione del programma di investimenti."))</f>
        <v>#VALUE!</v>
      </c>
      <c r="C25" s="1651"/>
      <c r="D25" s="114" t="str">
        <f>+IF(OR(AND('Dati riepilogativi'!$B$2="Capo III",Analisi!$BZ$7&lt;=3),AND('Dati riepilogativi'!$B$2="Capo II",Analisi!$BB$7&lt;=3)),"x","")</f>
        <v/>
      </c>
      <c r="E25" s="115" t="str">
        <f>+IF(D25="x",3,"")</f>
        <v/>
      </c>
      <c r="F25" s="1653"/>
    </row>
    <row r="26" spans="1:6" ht="18" thickBot="1" x14ac:dyDescent="0.4">
      <c r="A26" s="119" t="s">
        <v>134</v>
      </c>
      <c r="B26" s="1640" t="s">
        <v>153</v>
      </c>
      <c r="C26" s="1640"/>
      <c r="D26" s="1640"/>
      <c r="E26" s="1640"/>
      <c r="F26" s="1641"/>
    </row>
    <row r="27" spans="1:6" ht="23.5" x14ac:dyDescent="0.35">
      <c r="A27" s="142" t="s">
        <v>136</v>
      </c>
      <c r="B27" s="129" t="s">
        <v>154</v>
      </c>
      <c r="C27" s="1634"/>
      <c r="D27" s="120" t="str">
        <f>+IF(Analisi!$BW$30=10,"X","")</f>
        <v/>
      </c>
      <c r="E27" s="121" t="str">
        <f>+IF(D27="x",10,"")</f>
        <v/>
      </c>
      <c r="F27" s="1637"/>
    </row>
    <row r="28" spans="1:6" ht="49.5" x14ac:dyDescent="0.35">
      <c r="A28" s="122" t="s">
        <v>138</v>
      </c>
      <c r="B28" s="130" t="s">
        <v>155</v>
      </c>
      <c r="C28" s="1635"/>
      <c r="D28" s="123" t="str">
        <f>+IF(Analisi!$BW$30=9,"X","")</f>
        <v/>
      </c>
      <c r="E28" s="124" t="str">
        <f>+IF(D28="x",9,"")</f>
        <v/>
      </c>
      <c r="F28" s="1638"/>
    </row>
    <row r="29" spans="1:6" ht="49.5" x14ac:dyDescent="0.35">
      <c r="A29" s="122" t="s">
        <v>138</v>
      </c>
      <c r="B29" s="130" t="s">
        <v>156</v>
      </c>
      <c r="C29" s="1635"/>
      <c r="D29" s="123" t="str">
        <f>+IF(Analisi!$BW$30=8,"X","")</f>
        <v/>
      </c>
      <c r="E29" s="124" t="str">
        <f>+IF(D29="x",8,"")</f>
        <v/>
      </c>
      <c r="F29" s="1638"/>
    </row>
    <row r="30" spans="1:6" ht="33" x14ac:dyDescent="0.35">
      <c r="A30" s="125" t="s">
        <v>139</v>
      </c>
      <c r="B30" s="130" t="s">
        <v>157</v>
      </c>
      <c r="C30" s="1635"/>
      <c r="D30" s="123" t="str">
        <f>+IF(Analisi!$BW$30=7,"X","")</f>
        <v/>
      </c>
      <c r="E30" s="124" t="str">
        <f>+IF(D30="x",7,"")</f>
        <v/>
      </c>
      <c r="F30" s="1638"/>
    </row>
    <row r="31" spans="1:6" ht="49.5" x14ac:dyDescent="0.35">
      <c r="A31" s="122">
        <v>0</v>
      </c>
      <c r="B31" s="130" t="s">
        <v>158</v>
      </c>
      <c r="C31" s="1635"/>
      <c r="D31" s="123" t="str">
        <f>+IF(AND(Analisi!$BW$30=6,Analisi!BW21=1),"X","")</f>
        <v/>
      </c>
      <c r="E31" s="124" t="str">
        <f>+IF(D31="x",6,"")</f>
        <v/>
      </c>
      <c r="F31" s="1638"/>
    </row>
    <row r="32" spans="1:6" ht="23.5" x14ac:dyDescent="0.35">
      <c r="A32" s="122">
        <v>0</v>
      </c>
      <c r="B32" s="130" t="s">
        <v>159</v>
      </c>
      <c r="C32" s="1635"/>
      <c r="D32" s="123" t="str">
        <f>+IF(AND(Analisi!$BW$30=6,Analisi!BW22=1,Analisi!BW21=0),"X","")</f>
        <v/>
      </c>
      <c r="E32" s="124" t="str">
        <f>+IF(D32="x",6,"")</f>
        <v/>
      </c>
      <c r="F32" s="1638"/>
    </row>
    <row r="33" spans="1:6" ht="49.5" x14ac:dyDescent="0.35">
      <c r="A33" s="122">
        <v>0</v>
      </c>
      <c r="B33" s="130" t="s">
        <v>160</v>
      </c>
      <c r="C33" s="1635"/>
      <c r="D33" s="123" t="str">
        <f>+IF(AND(Analisi!$BW$30=6,Analisi!BW21=0,Analisi!BW22=0,Analisi!BW23=1),"X","")</f>
        <v/>
      </c>
      <c r="E33" s="124" t="str">
        <f>+IF(D33="x",6,"")</f>
        <v/>
      </c>
      <c r="F33" s="1638"/>
    </row>
    <row r="34" spans="1:6" ht="49.5" x14ac:dyDescent="0.35">
      <c r="A34" s="122">
        <v>0</v>
      </c>
      <c r="B34" s="130" t="s">
        <v>161</v>
      </c>
      <c r="C34" s="1635"/>
      <c r="D34" s="123" t="str">
        <f>+IF(AND(Analisi!$BW$30=6,(Analisi!$BW$21+Analisi!$BW$22+Analisi!$BW$23)=0),"X","")</f>
        <v/>
      </c>
      <c r="E34" s="124" t="str">
        <f>+IF(D34="x",6,"")</f>
        <v/>
      </c>
      <c r="F34" s="1638"/>
    </row>
    <row r="35" spans="1:6" ht="49.5" x14ac:dyDescent="0.35">
      <c r="A35" s="122" t="s">
        <v>145</v>
      </c>
      <c r="B35" s="130" t="s">
        <v>162</v>
      </c>
      <c r="C35" s="1635"/>
      <c r="D35" s="123" t="str">
        <f>+IF(Analisi!$BW$30=5,"X","")</f>
        <v/>
      </c>
      <c r="E35" s="124" t="str">
        <f>+IF(D35="x",4,"")</f>
        <v/>
      </c>
      <c r="F35" s="1638"/>
    </row>
    <row r="36" spans="1:6" ht="23.5" x14ac:dyDescent="0.35">
      <c r="A36" s="122" t="s">
        <v>145</v>
      </c>
      <c r="B36" s="130" t="s">
        <v>163</v>
      </c>
      <c r="C36" s="1635"/>
      <c r="D36" s="123" t="str">
        <f>+IF(Analisi!$BW$30=4,"X","")</f>
        <v/>
      </c>
      <c r="E36" s="124" t="str">
        <f>+IF(D36="x",4,"")</f>
        <v/>
      </c>
      <c r="F36" s="1638"/>
    </row>
    <row r="37" spans="1:6" ht="23.5" x14ac:dyDescent="0.35">
      <c r="A37" s="122" t="s">
        <v>145</v>
      </c>
      <c r="B37" s="130" t="s">
        <v>164</v>
      </c>
      <c r="C37" s="1635"/>
      <c r="D37" s="123" t="str">
        <f>+IF(AND(COUNT(E27:E36)=0,E38=""),"X","")</f>
        <v/>
      </c>
      <c r="E37" s="124" t="str">
        <f>+IF(D37="x",3,"")</f>
        <v/>
      </c>
      <c r="F37" s="1638"/>
    </row>
    <row r="38" spans="1:6" ht="24" thickBot="1" x14ac:dyDescent="0.4">
      <c r="A38" s="126" t="s">
        <v>151</v>
      </c>
      <c r="B38" s="131" t="s">
        <v>165</v>
      </c>
      <c r="C38" s="1636"/>
      <c r="D38" s="127" t="str">
        <f>+IF(Analisi!$BW$30=2,"X","")</f>
        <v>X</v>
      </c>
      <c r="E38" s="128">
        <f>+IF(D38="x",2,"")</f>
        <v>2</v>
      </c>
      <c r="F38" s="1639"/>
    </row>
  </sheetData>
  <mergeCells count="12">
    <mergeCell ref="C27:C38"/>
    <mergeCell ref="F27:F38"/>
    <mergeCell ref="B26:F26"/>
    <mergeCell ref="B1:F1"/>
    <mergeCell ref="C2:C9"/>
    <mergeCell ref="F2:F9"/>
    <mergeCell ref="B18:F18"/>
    <mergeCell ref="C19:C25"/>
    <mergeCell ref="F19:F25"/>
    <mergeCell ref="B10:F10"/>
    <mergeCell ref="C11:C17"/>
    <mergeCell ref="F11:F17"/>
  </mergeCell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4" id="{9D304E2D-62FB-473A-89A8-6E46533E4058}">
            <xm:f>'Dati riepilogativi'!$B$2="Capo III"</xm:f>
            <x14:dxf>
              <fill>
                <patternFill>
                  <bgColor theme="1"/>
                </patternFill>
              </fill>
            </x14:dxf>
          </x14:cfRule>
          <xm:sqref>A1:F9</xm:sqref>
        </x14:conditionalFormatting>
        <x14:conditionalFormatting xmlns:xm="http://schemas.microsoft.com/office/excel/2006/main">
          <x14:cfRule type="expression" priority="1" id="{05C28000-8EEF-40AF-B7B8-27B59A5982FB}">
            <xm:f>+'Dati riepilogativi'!B2="Capo II"</xm:f>
            <x14:dxf>
              <fill>
                <patternFill>
                  <bgColor theme="1"/>
                </patternFill>
              </fill>
            </x14:dxf>
          </x14:cfRule>
          <x14:cfRule type="expression" priority="2" id="{835A908D-216E-4D8D-AC29-D676BB8AD9EF}">
            <xm:f>'Dati riepilogativi'!$B$2="Capo II"</xm:f>
            <x14:dxf>
              <fill>
                <patternFill>
                  <bgColor theme="1"/>
                </patternFill>
              </fill>
            </x14:dxf>
          </x14:cfRule>
          <xm:sqref>A10:F17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3CBF84-87AD-4171-AC3F-CE1003529024}">
  <sheetPr codeName="Foglio4">
    <tabColor rgb="FF92D050"/>
  </sheetPr>
  <dimension ref="B1:CP125"/>
  <sheetViews>
    <sheetView topLeftCell="A7" zoomScale="90" zoomScaleNormal="90" workbookViewId="0">
      <selection activeCell="D20" sqref="D20"/>
    </sheetView>
  </sheetViews>
  <sheetFormatPr defaultColWidth="9.1796875" defaultRowHeight="25" customHeight="1" x14ac:dyDescent="0.2"/>
  <cols>
    <col min="1" max="1" width="9.1796875" style="1"/>
    <col min="2" max="2" width="43.26953125" style="1" bestFit="1" customWidth="1"/>
    <col min="3" max="4" width="18.7265625" style="1" customWidth="1"/>
    <col min="5" max="5" width="8.7265625" style="1" bestFit="1" customWidth="1"/>
    <col min="6" max="6" width="12.1796875" style="1" customWidth="1"/>
    <col min="7" max="7" width="17.1796875" style="1" customWidth="1"/>
    <col min="8" max="8" width="11.1796875" style="1" customWidth="1"/>
    <col min="9" max="9" width="12.81640625" style="1" customWidth="1"/>
    <col min="10" max="10" width="12.7265625" style="1" customWidth="1"/>
    <col min="11" max="11" width="18.26953125" style="1" customWidth="1"/>
    <col min="12" max="12" width="10.1796875" style="1" customWidth="1"/>
    <col min="13" max="14" width="9.1796875" style="1"/>
    <col min="15" max="15" width="25.26953125" style="1" bestFit="1" customWidth="1"/>
    <col min="16" max="16" width="15.453125" style="1" customWidth="1"/>
    <col min="17" max="17" width="14.54296875" style="1" customWidth="1"/>
    <col min="18" max="22" width="9.1796875" style="1"/>
    <col min="23" max="23" width="12.81640625" style="1" bestFit="1" customWidth="1"/>
    <col min="24" max="24" width="23" style="1" customWidth="1"/>
    <col min="25" max="27" width="9.1796875" style="1"/>
    <col min="28" max="28" width="5.81640625" style="1" customWidth="1"/>
    <col min="29" max="29" width="8.453125" style="1" customWidth="1"/>
    <col min="30" max="33" width="5.81640625" style="1" customWidth="1"/>
    <col min="34" max="41" width="9.1796875" style="1"/>
    <col min="42" max="42" width="21.26953125" style="1" bestFit="1" customWidth="1"/>
    <col min="43" max="46" width="9.1796875" style="1"/>
    <col min="47" max="47" width="18.453125" style="1" bestFit="1" customWidth="1"/>
    <col min="48" max="48" width="9.1796875" style="1"/>
    <col min="49" max="49" width="11.1796875" style="1" customWidth="1"/>
    <col min="50" max="56" width="9.1796875" style="1"/>
    <col min="57" max="57" width="13.1796875" style="1" bestFit="1" customWidth="1"/>
    <col min="58" max="58" width="13.1796875" style="1" customWidth="1"/>
    <col min="59" max="59" width="12.54296875" style="1" customWidth="1"/>
    <col min="60" max="61" width="14.26953125" style="1" customWidth="1"/>
    <col min="62" max="62" width="13.453125" style="1" customWidth="1"/>
    <col min="63" max="65" width="9.1796875" style="1"/>
    <col min="66" max="66" width="10.7265625" style="1" bestFit="1" customWidth="1"/>
    <col min="67" max="67" width="15.54296875" style="1" customWidth="1"/>
    <col min="68" max="68" width="8.81640625" style="1" customWidth="1"/>
    <col min="69" max="73" width="9.1796875" style="1"/>
    <col min="74" max="74" width="11.1796875" style="1" customWidth="1"/>
    <col min="75" max="77" width="9.1796875" style="1"/>
    <col min="78" max="78" width="11.54296875" style="1" customWidth="1"/>
    <col min="79" max="16378" width="9.1796875" style="1"/>
    <col min="16379" max="16381" width="9.1796875" style="1" bestFit="1"/>
    <col min="16382" max="16384" width="9.1796875" style="1"/>
  </cols>
  <sheetData>
    <row r="1" spans="2:94" ht="25" customHeight="1" x14ac:dyDescent="0.2">
      <c r="K1" s="2" t="s">
        <v>166</v>
      </c>
    </row>
    <row r="2" spans="2:94" ht="25" customHeight="1" x14ac:dyDescent="0.2">
      <c r="K2" s="1659" t="s">
        <v>167</v>
      </c>
      <c r="L2" s="1660" t="s">
        <v>168</v>
      </c>
      <c r="M2" s="1660"/>
      <c r="N2" s="1660"/>
      <c r="O2" s="1661"/>
      <c r="R2" s="1">
        <f>+'SP-CE-RF'!C10</f>
        <v>5</v>
      </c>
    </row>
    <row r="3" spans="2:94" ht="25" customHeight="1" x14ac:dyDescent="0.35">
      <c r="B3" s="3"/>
      <c r="C3" s="4"/>
      <c r="D3" s="5" t="s">
        <v>169</v>
      </c>
      <c r="E3" s="5" t="s">
        <v>170</v>
      </c>
      <c r="F3" s="5" t="s">
        <v>171</v>
      </c>
      <c r="G3" s="5" t="s">
        <v>172</v>
      </c>
      <c r="H3" s="5" t="s">
        <v>173</v>
      </c>
      <c r="K3" s="1659"/>
      <c r="L3" s="143" t="s">
        <v>174</v>
      </c>
      <c r="M3" s="143" t="s">
        <v>175</v>
      </c>
      <c r="N3" s="143" t="s">
        <v>176</v>
      </c>
      <c r="O3" s="58" t="str">
        <f>+_xlfn.CONCAT("ANNO"," t",'SP-CE-RF'!C10)</f>
        <v>ANNO t5</v>
      </c>
      <c r="Q3" s="6" t="s">
        <v>177</v>
      </c>
      <c r="R3" s="6"/>
      <c r="S3" s="1662" t="s">
        <v>178</v>
      </c>
      <c r="T3" s="1662"/>
      <c r="U3" s="6"/>
      <c r="AA3" s="7">
        <v>0.05</v>
      </c>
      <c r="AC3" s="1666" t="s">
        <v>170</v>
      </c>
      <c r="AD3" s="1666"/>
      <c r="AE3" s="1666" t="s">
        <v>171</v>
      </c>
      <c r="AF3" s="1666"/>
      <c r="AG3" s="1666" t="s">
        <v>172</v>
      </c>
      <c r="AH3" s="1666"/>
      <c r="AI3" s="1666" t="s">
        <v>173</v>
      </c>
      <c r="AJ3" s="1667"/>
      <c r="BD3" s="64"/>
      <c r="BE3" s="65"/>
      <c r="BF3" s="65"/>
      <c r="BG3" s="65"/>
      <c r="BH3" s="65"/>
      <c r="BI3" s="65"/>
      <c r="BJ3" s="84" t="s">
        <v>179</v>
      </c>
      <c r="BK3" s="65" t="s">
        <v>180</v>
      </c>
      <c r="BL3" s="65"/>
      <c r="BM3" s="65"/>
      <c r="BN3" s="65"/>
      <c r="BO3" s="65"/>
      <c r="BP3" s="65"/>
      <c r="BQ3" s="65"/>
      <c r="BR3" s="65"/>
      <c r="BS3" s="65"/>
      <c r="BT3" s="65"/>
      <c r="BU3" s="65"/>
      <c r="BV3" s="65"/>
      <c r="BW3" s="65"/>
      <c r="BX3" s="65"/>
      <c r="BY3" s="65"/>
      <c r="BZ3" s="66"/>
      <c r="CO3"/>
      <c r="CP3"/>
    </row>
    <row r="4" spans="2:94" ht="25" customHeight="1" x14ac:dyDescent="0.35">
      <c r="B4" s="8" t="s">
        <v>181</v>
      </c>
      <c r="C4" s="9" t="s">
        <v>182</v>
      </c>
      <c r="D4" s="10" t="s">
        <v>183</v>
      </c>
      <c r="E4" s="10" t="s">
        <v>183</v>
      </c>
      <c r="F4" s="10" t="s">
        <v>184</v>
      </c>
      <c r="G4" s="10" t="s">
        <v>184</v>
      </c>
      <c r="H4" s="10" t="s">
        <v>184</v>
      </c>
      <c r="K4" s="1659"/>
      <c r="L4" s="1663" t="s">
        <v>185</v>
      </c>
      <c r="M4" s="1663"/>
      <c r="N4" s="1663"/>
      <c r="O4" s="98" t="s">
        <v>186</v>
      </c>
      <c r="Q4" s="1" t="s">
        <v>185</v>
      </c>
      <c r="S4" s="1" t="s">
        <v>185</v>
      </c>
      <c r="T4" s="1" t="s">
        <v>186</v>
      </c>
      <c r="W4" s="1664" t="s">
        <v>187</v>
      </c>
      <c r="X4" s="1664"/>
      <c r="Y4" s="1664"/>
      <c r="AC4" s="104" t="s">
        <v>183</v>
      </c>
      <c r="AD4" s="104"/>
      <c r="AE4" s="104" t="s">
        <v>184</v>
      </c>
      <c r="AF4" s="104"/>
      <c r="AG4" s="104" t="s">
        <v>184</v>
      </c>
      <c r="AH4" s="104"/>
      <c r="AI4" s="104" t="s">
        <v>184</v>
      </c>
      <c r="AJ4" s="104"/>
      <c r="AP4" s="64"/>
      <c r="AQ4" s="65" t="s">
        <v>188</v>
      </c>
      <c r="AR4" s="65"/>
      <c r="AS4" s="65"/>
      <c r="AT4" s="65"/>
      <c r="AU4" s="65" t="s">
        <v>189</v>
      </c>
      <c r="AV4" s="65">
        <f>1</f>
        <v>1</v>
      </c>
      <c r="AW4" s="65" t="s">
        <v>190</v>
      </c>
      <c r="AX4" s="65"/>
      <c r="AY4" s="65"/>
      <c r="AZ4" s="65"/>
      <c r="BA4" s="65"/>
      <c r="BB4" s="66"/>
      <c r="BD4" s="81"/>
      <c r="BH4" s="85">
        <v>0.2</v>
      </c>
      <c r="BI4" s="85">
        <v>0.4</v>
      </c>
      <c r="BJ4" s="85">
        <v>0.6</v>
      </c>
      <c r="BK4" s="85">
        <v>0.8</v>
      </c>
      <c r="BL4" s="85">
        <v>1</v>
      </c>
      <c r="BM4" s="85">
        <v>1</v>
      </c>
      <c r="BN4" s="85">
        <v>1</v>
      </c>
      <c r="BZ4" s="68"/>
      <c r="CO4"/>
      <c r="CP4"/>
    </row>
    <row r="5" spans="2:94" ht="25" customHeight="1" x14ac:dyDescent="0.35">
      <c r="B5" s="11" t="s">
        <v>191</v>
      </c>
      <c r="C5" s="12" t="s">
        <v>192</v>
      </c>
      <c r="D5" s="12">
        <v>1</v>
      </c>
      <c r="E5" s="13">
        <v>2.8</v>
      </c>
      <c r="F5" s="13">
        <v>9.4</v>
      </c>
      <c r="G5" s="13">
        <v>92.1</v>
      </c>
      <c r="H5" s="13">
        <v>0.3</v>
      </c>
      <c r="K5" s="5" t="s">
        <v>170</v>
      </c>
      <c r="L5" s="57" t="str">
        <f>IFERROR(+INDEX('SP-CE-RF'!$M$16:$AE$37,18,(MATCH("ANNO -3",'SP-CE-RF'!$M$16:$AE$16,0)))/INDEX('SP-CE-RF'!$M$16:$AE$37,3,(MATCH("ANNO -3",'SP-CE-RF'!$M$16:$AE$16,0))),"N.D.")</f>
        <v>N.D.</v>
      </c>
      <c r="M5" s="57" t="str">
        <f>IFERROR(+INDEX('SP-CE-RF'!$M$16:$AE$37,18,(MATCH("ANNO -2",'SP-CE-RF'!$M$16:$AE$16,0)))/INDEX('SP-CE-RF'!$M$16:$AE$37,3,(MATCH("ANNO -2",'SP-CE-RF'!$M$16:$AE$16,0))),"N.D.")</f>
        <v>N.D.</v>
      </c>
      <c r="N5" s="57" t="str">
        <f>IFERROR(+INDEX('SP-CE-RF'!$M$16:$AE$37,18,(MATCH("ANNO -1",'SP-CE-RF'!$M$16:$AE$16,0)))/INDEX('SP-CE-RF'!$M$16:$AE$37,3,(MATCH("ANNO -1",'SP-CE-RF'!$M$16:$AE$16,0))),"N.D.")</f>
        <v>N.D.</v>
      </c>
      <c r="O5" s="57" t="str">
        <f>IFERROR(+INDEX('SP-CE-RF'!$M$16:$AE$37,18,(MATCH(_xlfn.CONCAT("ANNO"," ",'SP-CE-RF'!C10),'SP-CE-RF'!$M$16:$AE$16,0)))/INDEX('SP-CE-RF'!$M$16:$AE$37,3,(MATCH(_xlfn.CONCAT("ANNO"," ",'SP-CE-RF'!C10),'SP-CE-RF'!$M$16:$AE$16,0))),"N.D.")</f>
        <v>N.D.</v>
      </c>
      <c r="P5" s="14"/>
      <c r="Q5" s="105" t="b">
        <f>+IF(COUNT(L5:N5)=3,((L5*$W$5)+(M5*$X$5)+(N5*$Y$5)),
IF(COUNT(L5:N5)=2,((M5*$W$6)+(N5*$X$6)),
IF(COUNT(L5:N5)=1,N5)))</f>
        <v>0</v>
      </c>
      <c r="S5" s="109" t="str">
        <f>+IFERROR(IF(Q5&lt;AC5,10,IF(Q5&lt;=AC10,VLOOKUP(Q5,$AC$5:$AD$10,2),IF(AND(Q5&gt;AC10,Q5&lt;AC11),4,VLOOKUP(Q5,$AC$11:$AD$13,2,TRUE)))),"N.D.")</f>
        <v>N.D.</v>
      </c>
      <c r="T5" s="109" t="str">
        <f>+IFERROR(IF(O5&lt;AC5,10,IF(O5&lt;=AC10,VLOOKUP(O5,$AC$5:$AD$10,2),IF(AND(O5&gt;AC10,O5&lt;AC11),4,VLOOKUP(O5,$AC$11:$AD$13,2,TRUE)))),"N.D.")</f>
        <v>N.D.</v>
      </c>
      <c r="W5" s="17">
        <v>0.2</v>
      </c>
      <c r="X5" s="18">
        <v>0.3</v>
      </c>
      <c r="Y5" s="18">
        <v>0.5</v>
      </c>
      <c r="AB5" s="61"/>
      <c r="AC5" s="146" t="e">
        <f>+$AC$10*(1-($AA$3*(10-ROW(AC5))))</f>
        <v>#N/A</v>
      </c>
      <c r="AD5" s="14">
        <v>10</v>
      </c>
      <c r="AE5" s="147" t="e">
        <f>+$AE$9*(1-$AA$3*(9-ROW(AE5)))</f>
        <v>#N/A</v>
      </c>
      <c r="AF5" s="14">
        <v>1</v>
      </c>
      <c r="AG5" s="147" t="e">
        <f>+AG$9*(1-$AA$3*(9-ROW(AG5)))</f>
        <v>#N/A</v>
      </c>
      <c r="AH5" s="14">
        <v>1</v>
      </c>
      <c r="AI5" s="147" t="e">
        <f>+AI$9*(1-$AA$3*(9-ROW(AI5)))</f>
        <v>#N/A</v>
      </c>
      <c r="AJ5" s="77">
        <v>1</v>
      </c>
      <c r="AP5" s="67" t="s">
        <v>193</v>
      </c>
      <c r="AQ5" s="1">
        <v>0.2</v>
      </c>
      <c r="AR5" s="1">
        <f>+AQ5+0.2</f>
        <v>0.4</v>
      </c>
      <c r="AS5" s="1">
        <f t="shared" ref="AS5:AU5" si="0">+AR5+0.2</f>
        <v>0.60000000000000009</v>
      </c>
      <c r="AT5" s="1">
        <f t="shared" si="0"/>
        <v>0.8</v>
      </c>
      <c r="AU5" s="1">
        <f t="shared" si="0"/>
        <v>1</v>
      </c>
      <c r="AV5" s="1">
        <v>1</v>
      </c>
      <c r="AW5" s="1">
        <f>+AU5+0.1</f>
        <v>1.1000000000000001</v>
      </c>
      <c r="AX5" s="1">
        <f>+AW5+0.1</f>
        <v>1.2000000000000002</v>
      </c>
      <c r="AY5" s="1">
        <f t="shared" ref="AY5:AZ5" si="1">+AX5+0.1</f>
        <v>1.3000000000000003</v>
      </c>
      <c r="AZ5" s="1">
        <f t="shared" si="1"/>
        <v>1.4000000000000004</v>
      </c>
      <c r="BB5" s="68"/>
      <c r="BD5" s="81"/>
      <c r="BH5" s="86">
        <f>IF($O$10&lt;BH4,1,0)</f>
        <v>0</v>
      </c>
      <c r="BI5" s="86">
        <f>IF(AND($O$10&lt;BI4,$O$10&gt;=BH4),1,0)</f>
        <v>0</v>
      </c>
      <c r="BJ5" s="86">
        <f>IF(AND($O$10&lt;BJ4,$O$10&gt;=BI4),1,0)</f>
        <v>0</v>
      </c>
      <c r="BK5" s="86">
        <f>IF(AND($O$10&lt;BK4,$O$10&gt;=BJ4),1,0)</f>
        <v>0</v>
      </c>
      <c r="BL5" s="86">
        <f>IF(AND($O$10&lt;BL4,$O$10&gt;=BK4),1,0)</f>
        <v>0</v>
      </c>
      <c r="BM5" s="86">
        <f>IF($O$10=BM4,1,0)</f>
        <v>0</v>
      </c>
      <c r="BN5" s="86">
        <f>IF($O$10&gt;BN4,1,0)</f>
        <v>1</v>
      </c>
      <c r="BU5" s="87" t="s">
        <v>194</v>
      </c>
      <c r="BZ5" s="68"/>
      <c r="CO5"/>
      <c r="CP5"/>
    </row>
    <row r="6" spans="2:94" ht="25" customHeight="1" x14ac:dyDescent="0.35">
      <c r="B6" s="19" t="s">
        <v>195</v>
      </c>
      <c r="C6" s="20" t="s">
        <v>196</v>
      </c>
      <c r="D6" s="20">
        <v>1</v>
      </c>
      <c r="E6" s="21">
        <v>3</v>
      </c>
      <c r="F6" s="21">
        <v>7.6</v>
      </c>
      <c r="G6" s="21">
        <v>93.7</v>
      </c>
      <c r="H6" s="21">
        <v>0.5</v>
      </c>
      <c r="J6" s="59"/>
      <c r="K6" s="5" t="s">
        <v>171</v>
      </c>
      <c r="L6" s="57" t="str">
        <f>IFERROR(IF(AND(+INDEX('SP-CE-RF'!$B$13:$K$67,37,MATCH("ANNO t-3",'SP-CE-RF'!$B$13:$K$13,0))&gt;0,INDEX('SP-CE-RF'!$B$13:$K$67,42,MATCH("ANNO t-3",'SP-CE-RF'!$B$13:$K$13,0))&lt;=0),500,IFERROR(+INDEX('SP-CE-RF'!$B$13:$K$67,37,MATCH("ANNO t-3",'SP-CE-RF'!$B$13:$K$13,0))/INDEX('SP-CE-RF'!$B$13:$K$67,42,MATCH("ANNO t-3",'SP-CE-RF'!$B$13:$K$13,0)),"N.D.")),"N.D.")</f>
        <v>N.D.</v>
      </c>
      <c r="M6" s="56" t="str">
        <f>IFERROR(IF(AND(+INDEX('SP-CE-RF'!$B$13:$K$67,37,MATCH("ANNO t-2",'SP-CE-RF'!$B$13:$K$13,0))&gt;0,INDEX('SP-CE-RF'!$B$13:$K$67,42,MATCH("ANNO t-2",'SP-CE-RF'!$B$13:$K$13,0))&lt;=0),500,IFERROR(+INDEX('SP-CE-RF'!$B$13:$K$67,37,MATCH("ANNO t-2",'SP-CE-RF'!$B$13:$K$13,0))/INDEX('SP-CE-RF'!$B$13:$K$67,42,MATCH("ANNO t-2",'SP-CE-RF'!$B$13:$K$13,0)),"N.D.")),"N.D.")</f>
        <v>N.D.</v>
      </c>
      <c r="N6" s="57" t="str">
        <f>IFERROR(IF(AND(+INDEX('SP-CE-RF'!$B$13:$K$67,37,MATCH("ANNO t-1",'SP-CE-RF'!$B$13:$K$13,0))&gt;0,INDEX('SP-CE-RF'!$B$13:$K$67,42,MATCH("ANNO t-1",'SP-CE-RF'!$B$13:$K$13,0))&lt;=0),500, IFERROR(+INDEX('SP-CE-RF'!$B$13:$K$67,37,MATCH("ANNO t-1",'SP-CE-RF'!$B$13:$K$13,0))/INDEX('SP-CE-RF'!$B$13:$K$67,42,MATCH("ANNO t-1",'SP-CE-RF'!$B$13:$K$13,0)),"N.D.")),"N.D.")</f>
        <v>N.D.</v>
      </c>
      <c r="O6" s="57" t="str">
        <f>IF(AND(INDEX('SP-CE-RF'!$B$13:$K$67,37,MATCH($O$3,'SP-CE-RF'!$B$13:$K$13,0))&gt;0,INDEX('SP-CE-RF'!$B$13:$K$67,42,MATCH($O$3,'SP-CE-RF'!$B$13:$K$13,0))&lt;=0),500,IFERROR(+INDEX('SP-CE-RF'!$B$13:$K$67,37,MATCH($O$3,'SP-CE-RF'!$B$13:$K$13,0))/INDEX('SP-CE-RF'!$B$13:$K$67,42,MATCH($O$3,'SP-CE-RF'!$B$13:$K$13,0)),"N.D."))</f>
        <v>N.D.</v>
      </c>
      <c r="P6" s="14"/>
      <c r="Q6" s="105" t="b">
        <f>+IF(COUNT(L6:N6)=3,((L6*$W$5)+(M6*$X$5)+(N6*$Y$5)),
IF(COUNT(L6:N6)=2,((M6*$W$6)+(N6*$X$6)),
IF(COUNT(L6:N6)=1,N6)))</f>
        <v>0</v>
      </c>
      <c r="S6" s="109" t="str">
        <f>+IFERROR(IF(Q6&lt;AE5,1,IF(Q6&lt;=AE9,VLOOKUP(Q6,$AE$5:$AF$9,2),IF(AND(Q6&gt;AE9,Q6&lt;AE10),6,VLOOKUP(Q6,$AE$10:$AF$13,2,TRUE)))),"N.D.")</f>
        <v>N.D.</v>
      </c>
      <c r="T6" s="109" t="str">
        <f>+IFERROR(IF(O6&lt;AE5,1,IF(O6&lt;=AE9,VLOOKUP(O6,$AE$5:$AF$9,2),IF(AND(O6&gt;AE9,O6&lt;AE10),6,VLOOKUP(O6,$AE$10:$AF$13,2,TRUE)))),"N.D.")</f>
        <v>N.D.</v>
      </c>
      <c r="W6" s="18">
        <v>0.5</v>
      </c>
      <c r="X6" s="18">
        <v>0.5</v>
      </c>
      <c r="Y6" s="14"/>
      <c r="AB6" s="61"/>
      <c r="AC6" s="146" t="e">
        <f>+$AC$10*(1-($AA$3*(10-ROW(AC6))))</f>
        <v>#N/A</v>
      </c>
      <c r="AD6" s="14">
        <v>9</v>
      </c>
      <c r="AE6" s="147" t="e">
        <f>+$AE$9*(1-$AA$3*(9-ROW(AE6)))</f>
        <v>#N/A</v>
      </c>
      <c r="AF6" s="14">
        <v>2</v>
      </c>
      <c r="AG6" s="147" t="e">
        <f>+AG$9*(1-$AA$3*(9-ROW(AG6)))</f>
        <v>#N/A</v>
      </c>
      <c r="AH6" s="14">
        <v>2</v>
      </c>
      <c r="AI6" s="147" t="e">
        <f>+AI$9*(1-$AA$3*(9-ROW(AI6)))</f>
        <v>#N/A</v>
      </c>
      <c r="AJ6" s="77">
        <v>2</v>
      </c>
      <c r="AP6" s="67" t="s">
        <v>178</v>
      </c>
      <c r="AQ6" s="1">
        <v>1</v>
      </c>
      <c r="AR6" s="1">
        <v>2</v>
      </c>
      <c r="AS6" s="1">
        <v>3</v>
      </c>
      <c r="AT6" s="1">
        <v>4</v>
      </c>
      <c r="AU6" s="1">
        <v>5</v>
      </c>
      <c r="AV6" s="1">
        <v>6</v>
      </c>
      <c r="AW6" s="1">
        <v>7</v>
      </c>
      <c r="AX6" s="1">
        <v>8</v>
      </c>
      <c r="AY6" s="1">
        <v>9</v>
      </c>
      <c r="AZ6" s="1">
        <v>10</v>
      </c>
      <c r="BB6" s="69" t="s">
        <v>197</v>
      </c>
      <c r="BD6" s="81"/>
      <c r="BE6" s="85">
        <v>1</v>
      </c>
      <c r="BF6" s="85"/>
      <c r="BG6" s="88">
        <f>IF(O9&lt;1,1,0)</f>
        <v>0</v>
      </c>
      <c r="BH6" s="64">
        <f t="shared" ref="BH6:BN6" si="2">$BG6*BH$5</f>
        <v>0</v>
      </c>
      <c r="BI6" s="65">
        <f t="shared" si="2"/>
        <v>0</v>
      </c>
      <c r="BJ6" s="65">
        <f t="shared" si="2"/>
        <v>0</v>
      </c>
      <c r="BK6" s="65">
        <f t="shared" si="2"/>
        <v>0</v>
      </c>
      <c r="BL6" s="65">
        <f t="shared" si="2"/>
        <v>0</v>
      </c>
      <c r="BM6" s="65">
        <f t="shared" si="2"/>
        <v>0</v>
      </c>
      <c r="BN6" s="66">
        <f t="shared" si="2"/>
        <v>0</v>
      </c>
      <c r="BR6" s="73">
        <v>1</v>
      </c>
      <c r="BS6" s="74">
        <v>2</v>
      </c>
      <c r="BT6" s="74">
        <v>3</v>
      </c>
      <c r="BU6" s="74">
        <v>4</v>
      </c>
      <c r="BV6" s="74">
        <v>4</v>
      </c>
      <c r="BW6" s="74">
        <v>4</v>
      </c>
      <c r="BX6" s="75">
        <v>4</v>
      </c>
      <c r="BZ6" s="69" t="s">
        <v>197</v>
      </c>
      <c r="CO6"/>
      <c r="CP6"/>
    </row>
    <row r="7" spans="2:94" ht="25" customHeight="1" x14ac:dyDescent="0.35">
      <c r="B7" s="11" t="s">
        <v>198</v>
      </c>
      <c r="C7" s="12" t="s">
        <v>199</v>
      </c>
      <c r="D7" s="12">
        <v>1</v>
      </c>
      <c r="E7" s="13">
        <v>2.6</v>
      </c>
      <c r="F7" s="13">
        <v>6.7</v>
      </c>
      <c r="G7" s="13">
        <v>84.2</v>
      </c>
      <c r="H7" s="13">
        <v>1.9</v>
      </c>
      <c r="K7" s="5" t="s">
        <v>172</v>
      </c>
      <c r="L7" s="63" t="str">
        <f>IFERROR(+IF(AND((+INDEX('SP-CE-RF'!$B$13:$K$67,31,MATCH(L$3,'SP-CE-RF'!$B$13:$K$13,0))+INDEX('SP-CE-RF'!$B$13:$K$67,33,MATCH(L$3,'SP-CE-RF'!$B$13:$K$13,0))+INDEX('SP-CE-RF'!$B$13:$K$67,34,MATCH(L$3,'SP-CE-RF'!$B$13:$K$13,0))+INDEX('SP-CE-RF'!$B$13:$K$67,35,MATCH(L$3,'SP-CE-RF'!$B$13:$K$13,0))&gt;0),(INDEX('SP-CE-RF'!$B$13:$K$67,44,MATCH(L$3,'SP-CE-RF'!$B$13:$K$13,0))+INDEX('SP-CE-RF'!$B$13:$K$67,47,MATCH(L$3,'SP-CE-RF'!$B$13:$K$13,0))+INDEX('SP-CE-RF'!$B$13:$K$67,50,MATCH(L$3,'SP-CE-RF'!$B$13:$K$13,0))+INDEX('SP-CE-RF'!$B$13:$K$67,53,MATCH(L$3,'SP-CE-RF'!$B$13:$K$13,0))+INDEX('SP-CE-RF'!$B$13:$K$67,55,MATCH(L$3,'SP-CE-RF'!$B$13:$K$13,0)))&lt;=0),500, IFERROR((+INDEX('SP-CE-RF'!$B$13:$K$67,31,MATCH(L$3,'SP-CE-RF'!$B$13:$K$13,0))+INDEX('SP-CE-RF'!$B$13:$K$67,33,MATCH(L$3,'SP-CE-RF'!$B$13:$K$13,0))+INDEX('SP-CE-RF'!$B$13:$K$67,34,MATCH(L$3,'SP-CE-RF'!$B$13:$K$13,0))+INDEX('SP-CE-RF'!$B$13:$K$67,35,MATCH(L$3,'SP-CE-RF'!$B$13:$K$13,0)))/(INDEX('SP-CE-RF'!$B$13:$K$67,44,MATCH(L$3,'SP-CE-RF'!$B$13:$K$13,0))+INDEX('SP-CE-RF'!$B$13:$K$67,47,MATCH(L$3,'SP-CE-RF'!$B$13:$K$13,0))+INDEX('SP-CE-RF'!$B$13:$K$67,50,MATCH(L$3,'SP-CE-RF'!$B$13:$K$13,0))+INDEX('SP-CE-RF'!$B$13:$K$67,53,MATCH(L$3,'SP-CE-RF'!$B$13:$K$13,0))+INDEX('SP-CE-RF'!$B$13:$K$67,55,MATCH(L$3,'SP-CE-RF'!$B$13:$K$13,0))),"N.D.")),"N.D.")</f>
        <v>N.D.</v>
      </c>
      <c r="M7" s="63" t="str">
        <f>IFERROR(+IF(AND((+INDEX('SP-CE-RF'!$B$13:$K$67,31,MATCH(M$3,'SP-CE-RF'!$B$13:$K$13,0))+INDEX('SP-CE-RF'!$B$13:$K$67,33,MATCH(M$3,'SP-CE-RF'!$B$13:$K$13,0))+INDEX('SP-CE-RF'!$B$13:$K$67,34,MATCH(M$3,'SP-CE-RF'!$B$13:$K$13,0))+INDEX('SP-CE-RF'!$B$13:$K$67,35,MATCH(M$3,'SP-CE-RF'!$B$13:$K$13,0))&gt;0),(INDEX('SP-CE-RF'!$B$13:$K$67,44,MATCH(M$3,'SP-CE-RF'!$B$13:$K$13,0))+INDEX('SP-CE-RF'!$B$13:$K$67,47,MATCH(M$3,'SP-CE-RF'!$B$13:$K$13,0))+INDEX('SP-CE-RF'!$B$13:$K$67,50,MATCH(M$3,'SP-CE-RF'!$B$13:$K$13,0))+INDEX('SP-CE-RF'!$B$13:$K$67,53,MATCH(M$3,'SP-CE-RF'!$B$13:$K$13,0))+INDEX('SP-CE-RF'!$B$13:$K$67,55,MATCH(M$3,'SP-CE-RF'!$B$13:$K$13,0)))&lt;=0),500, IFERROR((+INDEX('SP-CE-RF'!$B$13:$K$67,31,MATCH(M$3,'SP-CE-RF'!$B$13:$K$13,0))+INDEX('SP-CE-RF'!$B$13:$K$67,33,MATCH(M$3,'SP-CE-RF'!$B$13:$K$13,0))+INDEX('SP-CE-RF'!$B$13:$K$67,34,MATCH(M$3,'SP-CE-RF'!$B$13:$K$13,0))+INDEX('SP-CE-RF'!$B$13:$K$67,35,MATCH(M$3,'SP-CE-RF'!$B$13:$K$13,0)))/(INDEX('SP-CE-RF'!$B$13:$K$67,44,MATCH(M$3,'SP-CE-RF'!$B$13:$K$13,0))+INDEX('SP-CE-RF'!$B$13:$K$67,47,MATCH(M$3,'SP-CE-RF'!$B$13:$K$13,0))+INDEX('SP-CE-RF'!$B$13:$K$67,50,MATCH(M$3,'SP-CE-RF'!$B$13:$K$13,0))+INDEX('SP-CE-RF'!$B$13:$K$67,53,MATCH(M$3,'SP-CE-RF'!$B$13:$K$13,0))+INDEX('SP-CE-RF'!$B$13:$K$67,55,MATCH(M$3,'SP-CE-RF'!$B$13:$K$13,0))),"N.D.")),"N.D.")</f>
        <v>N.D.</v>
      </c>
      <c r="N7" s="63" t="str">
        <f>IFERROR(+IF(AND((+INDEX('SP-CE-RF'!$B$13:$K$67,31,MATCH(N$3,'SP-CE-RF'!$B$13:$K$13,0))+INDEX('SP-CE-RF'!$B$13:$K$67,33,MATCH(N$3,'SP-CE-RF'!$B$13:$K$13,0))+INDEX('SP-CE-RF'!$B$13:$K$67,34,MATCH(N$3,'SP-CE-RF'!$B$13:$K$13,0))+INDEX('SP-CE-RF'!$B$13:$K$67,35,MATCH(N$3,'SP-CE-RF'!$B$13:$K$13,0))&gt;0),(INDEX('SP-CE-RF'!$B$13:$K$67,44,MATCH(N$3,'SP-CE-RF'!$B$13:$K$13,0))+INDEX('SP-CE-RF'!$B$13:$K$67,47,MATCH(N$3,'SP-CE-RF'!$B$13:$K$13,0))+INDEX('SP-CE-RF'!$B$13:$K$67,50,MATCH(N$3,'SP-CE-RF'!$B$13:$K$13,0))+INDEX('SP-CE-RF'!$B$13:$K$67,53,MATCH(N$3,'SP-CE-RF'!$B$13:$K$13,0))+INDEX('SP-CE-RF'!$B$13:$K$67,55,MATCH(N$3,'SP-CE-RF'!$B$13:$K$13,0)))&lt;=0),500, IFERROR((+INDEX('SP-CE-RF'!$B$13:$K$67,31,MATCH(N$3,'SP-CE-RF'!$B$13:$K$13,0))+INDEX('SP-CE-RF'!$B$13:$K$67,33,MATCH(N$3,'SP-CE-RF'!$B$13:$K$13,0))+INDEX('SP-CE-RF'!$B$13:$K$67,34,MATCH(N$3,'SP-CE-RF'!$B$13:$K$13,0))+INDEX('SP-CE-RF'!$B$13:$K$67,35,MATCH(N$3,'SP-CE-RF'!$B$13:$K$13,0)))/(INDEX('SP-CE-RF'!$B$13:$K$67,44,MATCH(N$3,'SP-CE-RF'!$B$13:$K$13,0))+INDEX('SP-CE-RF'!$B$13:$K$67,47,MATCH(N$3,'SP-CE-RF'!$B$13:$K$13,0))+INDEX('SP-CE-RF'!$B$13:$K$67,50,MATCH(N$3,'SP-CE-RF'!$B$13:$K$13,0))+INDEX('SP-CE-RF'!$B$13:$K$67,53,MATCH(N$3,'SP-CE-RF'!$B$13:$K$13,0))+INDEX('SP-CE-RF'!$B$13:$K$67,55,MATCH(N$3,'SP-CE-RF'!$B$13:$K$13,0))),"N.D.")),"N.D.")</f>
        <v>N.D.</v>
      </c>
      <c r="O7" s="63" t="str">
        <f>+IF(AND((+INDEX('SP-CE-RF'!$B$13:$K$67,31,MATCH(O$3,'SP-CE-RF'!$B$13:$K$13,0))+INDEX('SP-CE-RF'!$B$13:$K$67,33,MATCH(O$3,'SP-CE-RF'!$B$13:$K$13,0))+INDEX('SP-CE-RF'!$B$13:$K$67,34,MATCH(O$3,'SP-CE-RF'!$B$13:$K$13,0))+INDEX('SP-CE-RF'!$B$13:$K$67,35,MATCH(O$3,'SP-CE-RF'!$B$13:$K$13,0))&gt;0),(INDEX('SP-CE-RF'!$B$13:$K$67,44,MATCH(O$3,'SP-CE-RF'!$B$13:$K$13,0))+INDEX('SP-CE-RF'!$B$13:$K$67,47,MATCH(O$3,'SP-CE-RF'!$B$13:$K$13,0))+INDEX('SP-CE-RF'!$B$13:$K$67,50,MATCH(O$3,'SP-CE-RF'!$B$13:$K$13,0))+INDEX('SP-CE-RF'!$B$13:$K$67,53,MATCH(O$3,'SP-CE-RF'!$B$13:$K$13,0))+INDEX('SP-CE-RF'!$B$13:$K$67,55,MATCH(O$3,'SP-CE-RF'!$B$13:$K$13,0)))&lt;=0),500, IFERROR((+INDEX('SP-CE-RF'!$B$13:$K$67,31,MATCH(O$3,'SP-CE-RF'!$B$13:$K$13,0))+INDEX('SP-CE-RF'!$B$13:$K$67,33,MATCH(O$3,'SP-CE-RF'!$B$13:$K$13,0))+INDEX('SP-CE-RF'!$B$13:$K$67,34,MATCH(O$3,'SP-CE-RF'!$B$13:$K$13,0))+INDEX('SP-CE-RF'!$B$13:$K$67,35,MATCH(O$3,'SP-CE-RF'!$B$13:$K$13,0)))/(INDEX('SP-CE-RF'!$B$13:$K$67,44,MATCH(O$3,'SP-CE-RF'!$B$13:$K$13,0))+INDEX('SP-CE-RF'!$B$13:$K$67,47,MATCH(O$3,'SP-CE-RF'!$B$13:$K$13,0))+INDEX('SP-CE-RF'!$B$13:$K$67,50,MATCH(O$3,'SP-CE-RF'!$B$13:$K$13,0))+INDEX('SP-CE-RF'!$B$13:$K$67,53,MATCH(O$3,'SP-CE-RF'!$B$13:$K$13,0))+INDEX('SP-CE-RF'!$B$13:$K$67,55,MATCH(O$3,'SP-CE-RF'!$B$13:$K$13,0))),"N.D."))</f>
        <v>N.D.</v>
      </c>
      <c r="P7" s="14"/>
      <c r="Q7" s="105" t="b">
        <f>+IF(COUNT(L7:N7)=3,((L7*$W$5)+(M7*$X$5)+(N7*$Y$5)),
IF(COUNT(L7:N7)=2,((M7*$W$6)+(N7*$X$6)),
IF(COUNT(L7:N7)=1,N7)))</f>
        <v>0</v>
      </c>
      <c r="S7" s="109" t="str">
        <f>+IFERROR(IF(Q7&lt;AG5,1,IF(Q7&lt;=AG9,VLOOKUP(Q7,$AG$5:$AH$9,2),IF(AND(Q7&gt;AG9,Q7&lt;AG10),6,VLOOKUP(Q7,$AG$10:$AH$13,2,TRUE)))),"N.D.")</f>
        <v>N.D.</v>
      </c>
      <c r="T7" s="109" t="str">
        <f>+IFERROR(IF(O7&lt;AG5,1,IF(O7&lt;=AG9,VLOOKUP(O7,$AG$5:$AH$9,2),IF(AND(O7&gt;AG9,O7&lt;AG10),6,VLOOKUP(O7,$AG$10:$AH$13,2,TRUE)))),"N.D.")</f>
        <v>N.D.</v>
      </c>
      <c r="W7" s="18">
        <v>1</v>
      </c>
      <c r="X7" s="16"/>
      <c r="Y7" s="14"/>
      <c r="AB7" s="61"/>
      <c r="AC7" s="146" t="e">
        <f>+$AC$10*(1-($AA$3*(10-ROW(AC7))))</f>
        <v>#N/A</v>
      </c>
      <c r="AD7" s="14">
        <v>8</v>
      </c>
      <c r="AE7" s="147" t="e">
        <f>+$AE$9*(1-$AA$3*(9-ROW(AE7)))</f>
        <v>#N/A</v>
      </c>
      <c r="AF7" s="14">
        <v>3</v>
      </c>
      <c r="AG7" s="147" t="e">
        <f>+AG$9*(1-$AA$3*(9-ROW(AG7)))</f>
        <v>#N/A</v>
      </c>
      <c r="AH7" s="14">
        <v>3</v>
      </c>
      <c r="AI7" s="147" t="e">
        <f>+AI$9*(1-$AA$3*(9-ROW(AI7)))</f>
        <v>#N/A</v>
      </c>
      <c r="AJ7" s="77">
        <v>3</v>
      </c>
      <c r="AP7" s="70" t="s">
        <v>200</v>
      </c>
      <c r="AQ7" s="71">
        <f>IF($O$9&lt;=AQ5,1,0)</f>
        <v>0</v>
      </c>
      <c r="AR7" s="71">
        <f>IF(AND($O$9&lt;=AR5,$O$9&gt;AQ5),1,0)</f>
        <v>0</v>
      </c>
      <c r="AS7" s="71">
        <f>IF(AND($O$9&lt;=AS5,$O$9&gt;AR5),1,0)</f>
        <v>0</v>
      </c>
      <c r="AT7" s="71">
        <f>IF(AND($O$9&lt;=AT5,$O$9&gt;AS5),1,0)</f>
        <v>0</v>
      </c>
      <c r="AU7" s="71">
        <f>IF(AND($O$9&lt;=AU5,$O$9&gt;AT5),1,0)</f>
        <v>0</v>
      </c>
      <c r="AV7" s="71" t="str">
        <f>IF($O$9=AV5,1,"0")</f>
        <v>0</v>
      </c>
      <c r="AW7" s="71">
        <f>IF(AND($O$9&lt;=AW5,$O$9&gt;AV5),1,0)</f>
        <v>0</v>
      </c>
      <c r="AX7" s="71">
        <f>IF(AND($O$9&lt;=AX5,$O$9&gt;AW5),1,0)</f>
        <v>0</v>
      </c>
      <c r="AY7" s="71">
        <f>IF(AND($O$9&lt;=AZ5,$O$9&gt;AX5),1,0)</f>
        <v>0</v>
      </c>
      <c r="AZ7" s="71">
        <f>IF($O$9&gt;AZ5,1,0)</f>
        <v>1</v>
      </c>
      <c r="BA7" s="71"/>
      <c r="BB7" s="72">
        <f>SUMPRODUCT(AQ6:AZ6,AQ7:AZ7)</f>
        <v>10</v>
      </c>
      <c r="BD7" s="67" t="s">
        <v>201</v>
      </c>
      <c r="BE7" s="85">
        <v>1</v>
      </c>
      <c r="BF7" s="85"/>
      <c r="BG7" s="88">
        <f>IF(9=1,1,0)</f>
        <v>0</v>
      </c>
      <c r="BH7" s="81">
        <f t="shared" ref="BH7:BH10" si="3">$BG7*BH$5</f>
        <v>0</v>
      </c>
      <c r="BI7" s="1">
        <f t="shared" ref="BI7:BN10" si="4">$BG7*BI$5</f>
        <v>0</v>
      </c>
      <c r="BJ7" s="1">
        <f t="shared" si="4"/>
        <v>0</v>
      </c>
      <c r="BK7" s="1">
        <f t="shared" si="4"/>
        <v>0</v>
      </c>
      <c r="BL7" s="1">
        <f t="shared" si="4"/>
        <v>0</v>
      </c>
      <c r="BM7" s="1">
        <f t="shared" si="4"/>
        <v>0</v>
      </c>
      <c r="BN7" s="68">
        <f t="shared" si="4"/>
        <v>0</v>
      </c>
      <c r="BR7" s="76">
        <v>2</v>
      </c>
      <c r="BS7" s="14">
        <v>3</v>
      </c>
      <c r="BT7" s="14">
        <v>4</v>
      </c>
      <c r="BU7" s="14">
        <v>5</v>
      </c>
      <c r="BV7" s="14">
        <v>5</v>
      </c>
      <c r="BW7" s="14">
        <v>6</v>
      </c>
      <c r="BX7" s="77">
        <v>7</v>
      </c>
      <c r="BZ7" s="72">
        <f>SUMPRODUCT(BH6:BN10,BR6:BX10)</f>
        <v>10</v>
      </c>
      <c r="CO7"/>
      <c r="CP7"/>
    </row>
    <row r="8" spans="2:94" ht="25" customHeight="1" x14ac:dyDescent="0.35">
      <c r="B8" s="19" t="s">
        <v>202</v>
      </c>
      <c r="C8" s="20" t="s">
        <v>203</v>
      </c>
      <c r="D8" s="20">
        <v>1</v>
      </c>
      <c r="E8" s="21">
        <v>3.8</v>
      </c>
      <c r="F8" s="21">
        <v>4.9000000000000004</v>
      </c>
      <c r="G8" s="21">
        <v>108</v>
      </c>
      <c r="H8" s="21">
        <v>0.4</v>
      </c>
      <c r="K8" s="5" t="s">
        <v>173</v>
      </c>
      <c r="L8" s="56" t="str">
        <f>IFERROR(+IF('SP-CE-RF'!$N$16="ANNO -3",('SP-CE-RF'!N37+'SP-CE-RF'!N28+'SP-CE-RF'!N26)/'SP-CE-RF'!C16, "N.D."),"N.D.")</f>
        <v>N.D.</v>
      </c>
      <c r="M8" s="56" t="str">
        <f>IFERROR(+IF('SP-CE-RF'!$N$16="ANNO -3",('SP-CE-RF'!P37+'SP-CE-RF'!P28+'SP-CE-RF'!P26)/'SP-CE-RF'!D16,IF('SP-CE-RF'!N16="ANNO -2",('SP-CE-RF'!N37+'SP-CE-RF'!N28+'SP-CE-RF'!N26)/'SP-CE-RF'!C16,"N.D.")),"N.D.")</f>
        <v>N.D.</v>
      </c>
      <c r="N8" s="56" t="str">
        <f>IFERROR(+IF('SP-CE-RF'!$N$16="ANNO -3",('SP-CE-RF'!R37+'SP-CE-RF'!R28+'SP-CE-RF'!R26)/'SP-CE-RF'!E16,IF('SP-CE-RF'!$N$16="ANNO -2",('SP-CE-RF'!P37+'SP-CE-RF'!P28+'SP-CE-RF'!P26)/'SP-CE-RF'!D16,IF('SP-CE-RF'!$N$16="ANNO -1",('SP-CE-RF'!N37+'SP-CE-RF'!N28+'SP-CE-RF'!N26)/'SP-CE-RF'!C16,"N.D."))),"N.D.")</f>
        <v>N.D.</v>
      </c>
      <c r="O8" s="60" t="str">
        <f>IFERROR((INDEX('SP-CE-RF'!$M$16:$AE$37,22,(MATCH(_xlfn.CONCAT("ANNO"," ",'SP-CE-RF'!C10),'SP-CE-RF'!$M$16:$AE$16,0)))+INDEX('SP-CE-RF'!$M$16:$AE$37,11,(MATCH(_xlfn.CONCAT("ANNO"," ",'SP-CE-RF'!C10),'SP-CE-RF'!$M$16:$AE$16,0)))+INDEX('SP-CE-RF'!$M$16:$AE$37,13,(MATCH(_xlfn.CONCAT("ANNO"," ",'SP-CE-RF'!C10),'SP-CE-RF'!$M$16:$AE$16,0))))/INDEX('SP-CE-RF'!$B$13:$K$67,4,MATCH($O$3,'SP-CE-RF'!$B$13:$K$13,0)),"N.D.")</f>
        <v>N.D.</v>
      </c>
      <c r="Q8" s="105" t="b">
        <f>+IF(COUNT(L8:N8)=3,((L8*$W$5)+(M8*$X$5)+(N8*$Y$5)),
IF(COUNT(L8:N8)=2,((M8*$W$6)+(N8*$X$6)),
IF(COUNT(L8:N8)=1,N8)))</f>
        <v>0</v>
      </c>
      <c r="S8" s="109" t="str">
        <f>+IFERROR(IF(Q8&lt;AI5,1,IF(Q8&lt;=AI9,VLOOKUP(Q8,$AI$5:$AJ$9,2),IF(AND(Q8&gt;AI9,Q8&lt;AI10),6,VLOOKUP(Q8,$AI$10:$AJ$13,2,TRUE)))),"N.D.")</f>
        <v>N.D.</v>
      </c>
      <c r="T8" s="109" t="str">
        <f>+IFERROR(IF(O8&lt;AI5,1,IF(O8&lt;=AI9,VLOOKUP(O8,$AI$5:$AJ$9,2),IF(AND(O8&gt;AI9,O8&lt;AI10),6,VLOOKUP(O8,$AI$10:$AJ$13,2,TRUE)))),"N.D.")</f>
        <v>N.D.</v>
      </c>
      <c r="Y8" s="148"/>
      <c r="AB8" s="61"/>
      <c r="AC8" s="146" t="e">
        <f>+$AC$10*(1-($AA$3*(10-ROW(AC8))))</f>
        <v>#N/A</v>
      </c>
      <c r="AD8" s="14">
        <v>7</v>
      </c>
      <c r="AE8" s="147" t="e">
        <f>+$AE$9*(1-$AA$3*(9-ROW(AE8)))</f>
        <v>#N/A</v>
      </c>
      <c r="AF8" s="14">
        <v>4</v>
      </c>
      <c r="AG8" s="147" t="e">
        <f>+AG$9*(1-$AA$3*(9-ROW(AG8)))</f>
        <v>#N/A</v>
      </c>
      <c r="AH8" s="14">
        <v>4</v>
      </c>
      <c r="AI8" s="147" t="e">
        <f>+AI$9*(1-$AA$3*(9-ROW(AI8)))</f>
        <v>#N/A</v>
      </c>
      <c r="AJ8" s="77">
        <v>4</v>
      </c>
      <c r="BD8" s="81" t="s">
        <v>204</v>
      </c>
      <c r="BE8" s="89">
        <v>1.1000000000000001</v>
      </c>
      <c r="BF8" s="89"/>
      <c r="BG8" s="88">
        <f>IF(AND(O9&gt;BE7,O9&lt;=BE8),1,0)</f>
        <v>0</v>
      </c>
      <c r="BH8" s="81">
        <f>$BG8*BH$5</f>
        <v>0</v>
      </c>
      <c r="BI8" s="1">
        <f t="shared" si="4"/>
        <v>0</v>
      </c>
      <c r="BJ8" s="1">
        <f t="shared" si="4"/>
        <v>0</v>
      </c>
      <c r="BK8" s="1">
        <f t="shared" si="4"/>
        <v>0</v>
      </c>
      <c r="BL8" s="1">
        <f t="shared" si="4"/>
        <v>0</v>
      </c>
      <c r="BM8" s="1">
        <f t="shared" si="4"/>
        <v>0</v>
      </c>
      <c r="BN8" s="68">
        <f t="shared" si="4"/>
        <v>0</v>
      </c>
      <c r="BR8" s="76">
        <v>3</v>
      </c>
      <c r="BS8" s="14">
        <v>4</v>
      </c>
      <c r="BT8" s="14">
        <v>5</v>
      </c>
      <c r="BU8" s="14">
        <v>6</v>
      </c>
      <c r="BV8" s="14">
        <v>6</v>
      </c>
      <c r="BW8" s="14">
        <v>7</v>
      </c>
      <c r="BX8" s="77">
        <v>8</v>
      </c>
      <c r="BZ8" s="68"/>
      <c r="CO8"/>
      <c r="CP8"/>
    </row>
    <row r="9" spans="2:94" ht="25" customHeight="1" x14ac:dyDescent="0.35">
      <c r="B9" s="11" t="s">
        <v>205</v>
      </c>
      <c r="C9" s="12" t="s">
        <v>206</v>
      </c>
      <c r="D9" s="12">
        <v>1</v>
      </c>
      <c r="E9" s="13">
        <v>2.8</v>
      </c>
      <c r="F9" s="13">
        <v>5.3</v>
      </c>
      <c r="G9" s="13">
        <v>101.1</v>
      </c>
      <c r="H9" s="13">
        <v>1.4</v>
      </c>
      <c r="K9" s="5" t="s">
        <v>207</v>
      </c>
      <c r="L9" s="23"/>
      <c r="M9" s="23"/>
      <c r="N9" s="23"/>
      <c r="O9" s="96" t="str">
        <f>+IFERROR((INDEX('SP-CE-RF'!$M$16:$AE$37,2,(MATCH(_xlfn.CONCAT("ANNO"," ",'SP-CE-RF'!C10),'SP-CE-RF'!$M$16:$AE$16,0)))-INDEX('SP-CE-RF'!$M$16:$AE$37,6,(MATCH(_xlfn.CONCAT("ANNO"," ",'SP-CE-RF'!C10),'SP-CE-RF'!$M$16:$AE$16,0)))+INDEX('SP-CE-RF'!$M$16:$AE$37,11,(MATCH(_xlfn.CONCAT("ANNO"," ",'SP-CE-RF'!C10),'SP-CE-RF'!$M$16:$AE$16,0)))+INDEX('SP-CE-RF'!$M$16:$AE$37,13,(MATCH(_xlfn.CONCAT("ANNO"," ",'SP-CE-RF'!C10),'SP-CE-RF'!$M$16:$AE$16,0))))/(+INDEX('SP-CE-RF'!$M$43:$T$60,13,MATCH("Anno a regime investimento",'SP-CE-RF'!$M$41:$T$41,0))+INDEX('SP-CE-RF'!$M$43:$T$60,14,MATCH("Anno a regime investimento",'SP-CE-RF'!$M$41:$T$41,0))),"N.D.")</f>
        <v>N.D.</v>
      </c>
      <c r="T9" s="144" t="b">
        <f>+IF(AB9="&gt;",(IF(O9&gt;=#REF!,#REF!,IF(AND(O9&gt;=AG9,O9&lt;#REF!),AI4,AG4))))</f>
        <v>0</v>
      </c>
      <c r="U9" s="1665"/>
      <c r="Y9" s="1" t="e">
        <f>IF(Y8&lt;AC5,10,IF(Y8&lt;=AC10,VLOOKUP(Y8,$AC$5:$AD$10,2),IF(AND(Y8&gt;AC10,Y8&lt;AC11),4,VLOOKUP(Y8,$AC$11:$AD$13,2,TRUE))))</f>
        <v>#N/A</v>
      </c>
      <c r="AB9" s="61"/>
      <c r="AC9" s="149" t="e">
        <f>+$AC$10*(1-($AA$3*(10-ROW(AC9))))</f>
        <v>#N/A</v>
      </c>
      <c r="AD9" s="14">
        <v>6</v>
      </c>
      <c r="AE9" s="150" t="e">
        <f>+F15</f>
        <v>#N/A</v>
      </c>
      <c r="AF9" s="14">
        <v>5</v>
      </c>
      <c r="AG9" s="147" t="e">
        <f>+G15</f>
        <v>#N/A</v>
      </c>
      <c r="AH9" s="14">
        <v>5</v>
      </c>
      <c r="AI9" s="147" t="e">
        <f>+H15</f>
        <v>#N/A</v>
      </c>
      <c r="AJ9" s="77">
        <v>5</v>
      </c>
      <c r="BD9" s="81"/>
      <c r="BE9" s="85">
        <v>1.2</v>
      </c>
      <c r="BF9" s="85"/>
      <c r="BG9" s="88">
        <f>IF(AND(O10&gt;BE8,O10&lt;=BE9),1,0)</f>
        <v>0</v>
      </c>
      <c r="BH9" s="81">
        <f t="shared" si="3"/>
        <v>0</v>
      </c>
      <c r="BI9" s="1">
        <f t="shared" si="4"/>
        <v>0</v>
      </c>
      <c r="BJ9" s="1">
        <f t="shared" si="4"/>
        <v>0</v>
      </c>
      <c r="BK9" s="1">
        <f t="shared" si="4"/>
        <v>0</v>
      </c>
      <c r="BL9" s="1">
        <f t="shared" si="4"/>
        <v>0</v>
      </c>
      <c r="BM9" s="1">
        <f t="shared" si="4"/>
        <v>0</v>
      </c>
      <c r="BN9" s="68">
        <f t="shared" si="4"/>
        <v>0</v>
      </c>
      <c r="BR9" s="76">
        <v>4</v>
      </c>
      <c r="BS9" s="14">
        <v>5</v>
      </c>
      <c r="BT9" s="14">
        <v>6</v>
      </c>
      <c r="BU9" s="14">
        <v>7</v>
      </c>
      <c r="BV9" s="14">
        <v>7</v>
      </c>
      <c r="BW9" s="14">
        <v>8</v>
      </c>
      <c r="BX9" s="77">
        <v>9</v>
      </c>
      <c r="BZ9" s="68"/>
      <c r="CO9"/>
      <c r="CP9"/>
    </row>
    <row r="10" spans="2:94" ht="25" customHeight="1" x14ac:dyDescent="0.35">
      <c r="B10" s="19" t="s">
        <v>208</v>
      </c>
      <c r="C10" s="20" t="s">
        <v>209</v>
      </c>
      <c r="D10" s="20">
        <v>1</v>
      </c>
      <c r="E10" s="21">
        <v>2.1</v>
      </c>
      <c r="F10" s="21">
        <v>6.3</v>
      </c>
      <c r="G10" s="21">
        <v>101.4</v>
      </c>
      <c r="H10" s="21">
        <v>0.6</v>
      </c>
      <c r="K10" s="5" t="s">
        <v>210</v>
      </c>
      <c r="L10" s="23"/>
      <c r="M10" s="23"/>
      <c r="N10" s="23"/>
      <c r="O10" s="95" t="str" cm="1">
        <f t="array" ref="O10">+IFERROR((INDEX('SP-CE-RF'!$M$16:$AE$37,2,(MATCH(_xlfn.CONCAT("ANNO"," ",'SP-CE-RF'!C10),'SP-CE-RF'!$M$16:$AE$16,0)+1))-INDEX('SP-CE-RF'!$M$16:$AE$37,6,(MATCH(_xlfn.CONCAT("ANNO"," ",'SP-CE-RF'!C10),'SP-CE-RF'!$M$16:$AE$16,0)+1))+INDEX('SP-CE-RF'!$M$16:$AE$37,11,(MATCH(_xlfn.CONCAT("ANNO"," ",'SP-CE-RF'!C10),'SP-CE-RF'!$M$16:$AE$16,0)+1))+INDEX('SP-CE-RF'!$M$16:$AE$37,13,(MATCH(_xlfn.CONCAT("ANNO"," ",'SP-CE-RF'!C10),'SP-CE-RF'!$M$16:$AE$16,0)+1)))/(INDEX('SP-CE-RF'!$M$43:$T$60,14,MATCH("Anno a regime investimento",'SP-CE-RF'!$M$41:$T$41,0))+'Dati riepilogativi'!B7),"N.D.")</f>
        <v>N.D.</v>
      </c>
      <c r="T10" s="144" t="b">
        <f>+IF(AB10="&gt;",(IF(O10&gt;=#REF!,#REF!,IF(AND(O10&gt;=AG10,O10&lt;#REF!),AI4,AG4))))</f>
        <v>0</v>
      </c>
      <c r="U10" s="1665"/>
      <c r="V10" s="14"/>
      <c r="AB10" s="61"/>
      <c r="AC10" s="146" t="e">
        <f>+E15</f>
        <v>#N/A</v>
      </c>
      <c r="AD10" s="14">
        <v>5</v>
      </c>
      <c r="AE10" s="147" t="e">
        <f>+$AE$9*(1+$AA$3*(ROW(AE10)-9))</f>
        <v>#N/A</v>
      </c>
      <c r="AF10" s="14">
        <v>7</v>
      </c>
      <c r="AG10" s="147" t="e">
        <f>+AG$9*(1+$AA$3*(ROW(AG10)-9))</f>
        <v>#N/A</v>
      </c>
      <c r="AH10" s="14">
        <v>7</v>
      </c>
      <c r="AI10" s="147" t="e">
        <f>+AI$9*(1+$AA$3*(ROW(AI10)-9))</f>
        <v>#N/A</v>
      </c>
      <c r="AJ10" s="77">
        <v>7</v>
      </c>
      <c r="BD10" s="82"/>
      <c r="BE10" s="90">
        <v>1.2</v>
      </c>
      <c r="BF10" s="90"/>
      <c r="BG10" s="91">
        <f>IF(O9&gt;BE10,1,0)</f>
        <v>1</v>
      </c>
      <c r="BH10" s="82">
        <f t="shared" si="3"/>
        <v>0</v>
      </c>
      <c r="BI10" s="71">
        <f t="shared" si="4"/>
        <v>0</v>
      </c>
      <c r="BJ10" s="71">
        <f t="shared" si="4"/>
        <v>0</v>
      </c>
      <c r="BK10" s="71">
        <f t="shared" si="4"/>
        <v>0</v>
      </c>
      <c r="BL10" s="71">
        <f t="shared" si="4"/>
        <v>0</v>
      </c>
      <c r="BM10" s="71">
        <f t="shared" si="4"/>
        <v>0</v>
      </c>
      <c r="BN10" s="71">
        <f t="shared" si="4"/>
        <v>1</v>
      </c>
      <c r="BO10" s="82"/>
      <c r="BP10" s="71"/>
      <c r="BQ10" s="71"/>
      <c r="BR10" s="78">
        <v>4</v>
      </c>
      <c r="BS10" s="79">
        <v>5</v>
      </c>
      <c r="BT10" s="79">
        <v>6</v>
      </c>
      <c r="BU10" s="79">
        <v>7</v>
      </c>
      <c r="BV10" s="79">
        <v>8</v>
      </c>
      <c r="BW10" s="79">
        <v>9</v>
      </c>
      <c r="BX10" s="80">
        <v>10</v>
      </c>
      <c r="BY10" s="71"/>
      <c r="BZ10" s="83"/>
      <c r="CO10"/>
      <c r="CP10"/>
    </row>
    <row r="11" spans="2:94" ht="25" customHeight="1" x14ac:dyDescent="0.35">
      <c r="B11" s="11" t="s">
        <v>211</v>
      </c>
      <c r="C11" s="12" t="s">
        <v>212</v>
      </c>
      <c r="D11" s="12">
        <v>1</v>
      </c>
      <c r="E11" s="13">
        <v>1.5</v>
      </c>
      <c r="F11" s="13">
        <v>4.2</v>
      </c>
      <c r="G11" s="13">
        <v>89.8</v>
      </c>
      <c r="H11" s="13">
        <v>1</v>
      </c>
      <c r="K11"/>
      <c r="L11"/>
      <c r="M11"/>
      <c r="N11"/>
      <c r="O11"/>
      <c r="P11"/>
      <c r="Q11"/>
      <c r="R11"/>
      <c r="S11"/>
      <c r="AB11" s="61"/>
      <c r="AC11" s="146" t="e">
        <f>+$AC$10*(1+($AA$3*(ROW(AC11)-10)))</f>
        <v>#N/A</v>
      </c>
      <c r="AD11" s="14">
        <v>3</v>
      </c>
      <c r="AE11" s="147" t="e">
        <f>+$AE$9*(1+$AA$3*(ROW(AE11)-9))</f>
        <v>#N/A</v>
      </c>
      <c r="AF11" s="14">
        <v>8</v>
      </c>
      <c r="AG11" s="147" t="e">
        <f>+AG$9*(1+$AA$3*(ROW(AG11)-9))</f>
        <v>#N/A</v>
      </c>
      <c r="AH11" s="14">
        <v>8</v>
      </c>
      <c r="AI11" s="147" t="e">
        <f>+AI$9*(1+$AA$3*(ROW(AI11)-9))</f>
        <v>#N/A</v>
      </c>
      <c r="AJ11" s="77">
        <v>8</v>
      </c>
      <c r="AR11" s="64" t="s">
        <v>213</v>
      </c>
      <c r="AS11" s="65"/>
      <c r="AT11" s="66"/>
      <c r="CO11"/>
      <c r="CP11"/>
    </row>
    <row r="12" spans="2:94" ht="50.15" customHeight="1" x14ac:dyDescent="0.35">
      <c r="B12" s="19" t="s">
        <v>214</v>
      </c>
      <c r="C12" s="20" t="s">
        <v>215</v>
      </c>
      <c r="D12" s="20">
        <v>1</v>
      </c>
      <c r="E12" s="21">
        <v>1.5</v>
      </c>
      <c r="F12" s="21">
        <v>4.0999999999999996</v>
      </c>
      <c r="G12" s="21">
        <v>86</v>
      </c>
      <c r="H12" s="21">
        <v>1.4</v>
      </c>
      <c r="K12"/>
      <c r="L12"/>
      <c r="M12"/>
      <c r="N12"/>
      <c r="O12"/>
      <c r="P12"/>
      <c r="Q12"/>
      <c r="R12"/>
      <c r="S12"/>
      <c r="AC12" s="146" t="e">
        <f>+$AC$10*(1+($AA$3*(ROW(AC12)-10)))</f>
        <v>#N/A</v>
      </c>
      <c r="AD12" s="14">
        <v>2</v>
      </c>
      <c r="AE12" s="147" t="e">
        <f>+$AE$9*(1+$AA$3*(ROW(AE12)-9))</f>
        <v>#N/A</v>
      </c>
      <c r="AF12" s="14">
        <v>9</v>
      </c>
      <c r="AG12" s="147" t="e">
        <f>+AG$9*(1+$AA$3*(ROW(AG12)-9))</f>
        <v>#N/A</v>
      </c>
      <c r="AH12" s="14">
        <v>9</v>
      </c>
      <c r="AI12" s="147" t="e">
        <f>+AI$9*(1+$AA$3*(ROW(AI12)-9))</f>
        <v>#N/A</v>
      </c>
      <c r="AJ12" s="77">
        <v>9</v>
      </c>
      <c r="AR12" s="76" t="s">
        <v>183</v>
      </c>
      <c r="AS12" s="14">
        <v>0</v>
      </c>
      <c r="AT12" s="77" t="s">
        <v>184</v>
      </c>
      <c r="CO12"/>
      <c r="CP12"/>
    </row>
    <row r="13" spans="2:94" ht="25" customHeight="1" x14ac:dyDescent="0.35">
      <c r="B13" s="11" t="s">
        <v>216</v>
      </c>
      <c r="C13" s="12" t="s">
        <v>217</v>
      </c>
      <c r="D13" s="12">
        <v>1</v>
      </c>
      <c r="E13" s="13">
        <v>1.8</v>
      </c>
      <c r="F13" s="13">
        <v>5.2</v>
      </c>
      <c r="G13" s="13">
        <v>95.4</v>
      </c>
      <c r="H13" s="13">
        <v>1.7</v>
      </c>
      <c r="K13"/>
      <c r="L13"/>
      <c r="M13"/>
      <c r="N13"/>
      <c r="O13"/>
      <c r="P13"/>
      <c r="Q13"/>
      <c r="R13"/>
      <c r="S13"/>
      <c r="AC13" s="151" t="e">
        <f>+$AC$10*(1+($AA$3*(ROW(AC13)-10)))</f>
        <v>#N/A</v>
      </c>
      <c r="AD13" s="79">
        <v>1</v>
      </c>
      <c r="AE13" s="152" t="e">
        <f>+$AE$9*(1+$AA$3*(ROW(AE13)-9))</f>
        <v>#N/A</v>
      </c>
      <c r="AF13" s="79">
        <v>10</v>
      </c>
      <c r="AG13" s="152" t="e">
        <f>+AG$9*(1+$AA$3*(ROW(AG13)-9))</f>
        <v>#N/A</v>
      </c>
      <c r="AH13" s="79">
        <v>10</v>
      </c>
      <c r="AI13" s="152" t="e">
        <f>+AI$9*(1+$AA$3*(ROW(AI13)-9))</f>
        <v>#N/A</v>
      </c>
      <c r="AJ13" s="80">
        <v>10</v>
      </c>
      <c r="AR13" s="76">
        <v>4</v>
      </c>
      <c r="AS13" s="14">
        <v>5</v>
      </c>
      <c r="AT13" s="77">
        <v>6</v>
      </c>
    </row>
    <row r="14" spans="2:94" ht="25" customHeight="1" x14ac:dyDescent="0.35">
      <c r="B14" s="19" t="s">
        <v>218</v>
      </c>
      <c r="C14" s="20" t="s">
        <v>219</v>
      </c>
      <c r="D14" s="20">
        <v>1</v>
      </c>
      <c r="E14" s="21">
        <v>2.7</v>
      </c>
      <c r="F14" s="21">
        <v>2.2999999999999998</v>
      </c>
      <c r="G14" s="21">
        <v>69.8</v>
      </c>
      <c r="H14" s="21">
        <v>0.5</v>
      </c>
      <c r="K14"/>
      <c r="L14"/>
      <c r="M14"/>
      <c r="N14"/>
      <c r="O14"/>
      <c r="P14"/>
      <c r="Q14"/>
      <c r="R14"/>
      <c r="S14"/>
      <c r="AR14" s="81"/>
      <c r="AS14" s="24" t="e">
        <f>(INDEX('SP-CE-RF'!B13:K49,37,(MATCH("anno T-1",'SP-CE-RF'!B13:K13,0))))</f>
        <v>#N/A</v>
      </c>
      <c r="AT14" s="68"/>
      <c r="BC14" s="101" t="s">
        <v>34</v>
      </c>
      <c r="BD14" s="1657" t="s">
        <v>220</v>
      </c>
      <c r="BE14" s="1657"/>
      <c r="BF14" s="1657" t="s">
        <v>221</v>
      </c>
      <c r="BG14" s="1657"/>
      <c r="BH14" s="1657" t="s">
        <v>222</v>
      </c>
      <c r="BI14" s="1657"/>
      <c r="BJ14" s="145" t="s">
        <v>223</v>
      </c>
      <c r="BK14" s="153"/>
      <c r="BN14" s="154" t="s">
        <v>224</v>
      </c>
      <c r="BO14" s="1655" t="s">
        <v>223</v>
      </c>
      <c r="BP14" s="1656"/>
    </row>
    <row r="15" spans="2:94" ht="25" customHeight="1" x14ac:dyDescent="0.35">
      <c r="B15" s="30" t="s">
        <v>225</v>
      </c>
      <c r="C15" s="31" t="e">
        <f>INDEX(B5:C14,MATCH(INDEX($B$19:$E$125,MATCH(LEFT('Dati riepilogativi'!$B$3,2),$C$19:$C$125,0),4),$B$5:$B$14,0),2)</f>
        <v>#N/A</v>
      </c>
      <c r="D15" s="32" t="e">
        <f>VLOOKUP($C$15,$C$5:$H$14,2,FALSE)</f>
        <v>#N/A</v>
      </c>
      <c r="E15" s="62" t="e">
        <f>(VLOOKUP($C$15,$C$5:$H$14,3,FALSE))/100</f>
        <v>#N/A</v>
      </c>
      <c r="F15" s="62" t="e">
        <f>VLOOKUP($C$15,$C$5:$H$14,4,FALSE)/100</f>
        <v>#N/A</v>
      </c>
      <c r="G15" s="62" t="e">
        <f>VLOOKUP($C$15,$C$5:$H$14,5,FALSE)/100</f>
        <v>#N/A</v>
      </c>
      <c r="H15" s="62" t="e">
        <f>VLOOKUP($C$15,$C$5:$H$14,6,FALSE)/100</f>
        <v>#N/A</v>
      </c>
      <c r="K15"/>
      <c r="L15"/>
      <c r="M15"/>
      <c r="N15"/>
      <c r="O15"/>
      <c r="P15"/>
      <c r="Q15"/>
      <c r="R15"/>
      <c r="S15"/>
      <c r="AR15" s="82"/>
      <c r="AS15" s="97" t="str">
        <f>IFERROR(IF(AS14&gt;AS12,AT13,IF(AS14=AS12,AS13,AR13)),"N.D.")</f>
        <v>N.D.</v>
      </c>
      <c r="AT15" s="83"/>
      <c r="BC15" s="81"/>
      <c r="BD15" s="15" t="s">
        <v>226</v>
      </c>
      <c r="BE15" s="14" t="s">
        <v>227</v>
      </c>
      <c r="BF15" s="14" t="s">
        <v>228</v>
      </c>
      <c r="BG15" s="14" t="s">
        <v>227</v>
      </c>
      <c r="BH15" s="14" t="s">
        <v>228</v>
      </c>
      <c r="BI15" s="14" t="s">
        <v>227</v>
      </c>
      <c r="BJ15" s="14" t="s">
        <v>228</v>
      </c>
      <c r="BK15" s="77" t="s">
        <v>227</v>
      </c>
      <c r="BN15" s="76"/>
      <c r="BO15" s="14" t="s">
        <v>228</v>
      </c>
      <c r="BP15" s="77" t="s">
        <v>227</v>
      </c>
      <c r="BT15" s="244" t="s">
        <v>229</v>
      </c>
    </row>
    <row r="16" spans="2:94" ht="25" customHeight="1" x14ac:dyDescent="0.35">
      <c r="B16" s="33"/>
      <c r="K16"/>
      <c r="L16"/>
      <c r="M16"/>
      <c r="N16"/>
      <c r="O16"/>
      <c r="P16"/>
      <c r="Q16"/>
      <c r="R16"/>
      <c r="S16"/>
      <c r="BC16" s="81"/>
      <c r="BD16" s="14">
        <v>0</v>
      </c>
      <c r="BE16" s="14">
        <v>1</v>
      </c>
      <c r="BF16" s="14"/>
      <c r="BG16" s="14">
        <v>1</v>
      </c>
      <c r="BH16" s="14"/>
      <c r="BI16" s="14">
        <v>10</v>
      </c>
      <c r="BJ16" s="14"/>
      <c r="BK16" s="77">
        <v>1</v>
      </c>
      <c r="BN16" s="76"/>
      <c r="BO16" s="14"/>
      <c r="BP16" s="77">
        <v>1</v>
      </c>
      <c r="BT16" s="239" t="s">
        <v>227</v>
      </c>
      <c r="BU16" s="240" t="s">
        <v>230</v>
      </c>
      <c r="BV16" s="74" t="s">
        <v>231</v>
      </c>
      <c r="BW16" s="66"/>
    </row>
    <row r="17" spans="2:75" ht="25" customHeight="1" x14ac:dyDescent="0.35">
      <c r="B17" s="34"/>
      <c r="K17"/>
      <c r="L17"/>
      <c r="M17"/>
      <c r="N17"/>
      <c r="O17"/>
      <c r="P17"/>
      <c r="Q17"/>
      <c r="R17"/>
      <c r="S17"/>
      <c r="BC17" s="81"/>
      <c r="BD17" s="14">
        <v>0.1</v>
      </c>
      <c r="BE17" s="14">
        <v>2</v>
      </c>
      <c r="BF17" s="14">
        <v>-0.03</v>
      </c>
      <c r="BG17" s="14">
        <v>2</v>
      </c>
      <c r="BH17" s="14">
        <v>0</v>
      </c>
      <c r="BI17" s="14">
        <v>9</v>
      </c>
      <c r="BJ17" s="14">
        <v>-0.03</v>
      </c>
      <c r="BK17" s="77">
        <v>2</v>
      </c>
      <c r="BN17" s="76"/>
      <c r="BO17" s="14">
        <v>-0.03</v>
      </c>
      <c r="BP17" s="77">
        <v>2</v>
      </c>
      <c r="BT17" s="241">
        <v>10</v>
      </c>
      <c r="BU17" t="b">
        <f>+'Fonti-Impieghi'!$E$12+'Fonti-Impieghi'!$E$13+'Fonti-Impieghi'!$E$21&gt;='Fonti-Impieghi'!$E$9</f>
        <v>1</v>
      </c>
      <c r="BV17">
        <v>1</v>
      </c>
      <c r="BW17" s="68">
        <f>+BU17*BV17</f>
        <v>1</v>
      </c>
    </row>
    <row r="18" spans="2:75" ht="25" customHeight="1" x14ac:dyDescent="0.35">
      <c r="B18" s="35"/>
      <c r="X18" s="36"/>
      <c r="BC18" s="81"/>
      <c r="BD18" s="14">
        <v>0.3</v>
      </c>
      <c r="BE18" s="14">
        <v>3</v>
      </c>
      <c r="BF18" s="14">
        <v>0</v>
      </c>
      <c r="BG18" s="14">
        <v>3</v>
      </c>
      <c r="BH18" s="14">
        <v>3</v>
      </c>
      <c r="BI18" s="14">
        <v>8</v>
      </c>
      <c r="BJ18" s="14">
        <v>0</v>
      </c>
      <c r="BK18" s="77">
        <v>3</v>
      </c>
      <c r="BN18" s="76"/>
      <c r="BO18" s="14">
        <v>0</v>
      </c>
      <c r="BP18" s="77">
        <v>3</v>
      </c>
      <c r="BT18" s="241">
        <v>9</v>
      </c>
      <c r="BU18" t="b">
        <f>+'Fonti-Impieghi'!$E$12+'Fonti-Impieghi'!$E$13&gt;=('Fonti-Impieghi'!$E$9-'Fonti-Impieghi'!$E$21)*0.6</f>
        <v>1</v>
      </c>
      <c r="BV18" t="b">
        <f ca="1">+'Fonti-Impieghi'!$E$24+IF('SP-CE-RF'!O60&gt;='Fonti-Impieghi'!E9*0.3,'Fonti-Impieghi'!E9*0.3,'SP-CE-RF'!O60)&gt;='Fonti-Impieghi'!$E$9</f>
        <v>1</v>
      </c>
      <c r="BW18" s="68">
        <f t="shared" ref="BW18:BW22" ca="1" si="5">+BU18*BV18</f>
        <v>1</v>
      </c>
    </row>
    <row r="19" spans="2:75" ht="25" customHeight="1" x14ac:dyDescent="0.35">
      <c r="B19" s="1" t="s">
        <v>181</v>
      </c>
      <c r="C19" s="1" t="s">
        <v>232</v>
      </c>
      <c r="D19" s="1" t="s">
        <v>233</v>
      </c>
      <c r="E19" s="1" t="s">
        <v>234</v>
      </c>
      <c r="BC19" s="81"/>
      <c r="BD19" s="14">
        <v>0.4</v>
      </c>
      <c r="BE19" s="14">
        <v>4</v>
      </c>
      <c r="BF19" s="14">
        <v>0.01</v>
      </c>
      <c r="BG19" s="14">
        <v>4</v>
      </c>
      <c r="BH19" s="14">
        <v>5</v>
      </c>
      <c r="BI19" s="14">
        <v>7</v>
      </c>
      <c r="BJ19" s="14">
        <v>0.01</v>
      </c>
      <c r="BK19" s="77">
        <v>4</v>
      </c>
      <c r="BN19" s="76"/>
      <c r="BO19" s="14">
        <v>0.01</v>
      </c>
      <c r="BP19" s="77">
        <v>4</v>
      </c>
      <c r="BT19" s="241">
        <v>8</v>
      </c>
      <c r="BU19" t="b">
        <f>+'Fonti-Impieghi'!$E$12+'Fonti-Impieghi'!$E$13&gt;=('Fonti-Impieghi'!$E$9-'Fonti-Impieghi'!$E$21)*0.5</f>
        <v>1</v>
      </c>
      <c r="BV19" s="264" t="b">
        <f ca="1">'Fonti-Impieghi'!E24-'Fonti-Impieghi'!E21+IF('SP-CE-RF'!P60-'Fonti-Impieghi'!C24+'Fonti-Impieghi'!C5+'Fonti-Impieghi'!C6&gt;='Fonti-Impieghi'!C9*0.2,'Fonti-Impieghi'!C9*0.2,'SP-CE-RF'!P60-'Fonti-Impieghi'!C24+'SP-CE-RF'!P47+'Fonti-Impieghi'!C6)&gt;='Fonti-Impieghi'!E9</f>
        <v>1</v>
      </c>
      <c r="BW19" s="68">
        <f t="shared" ca="1" si="5"/>
        <v>1</v>
      </c>
    </row>
    <row r="20" spans="2:75" ht="25" customHeight="1" x14ac:dyDescent="0.35">
      <c r="B20" s="1" t="s">
        <v>235</v>
      </c>
      <c r="C20" s="24" t="s">
        <v>236</v>
      </c>
      <c r="E20" s="37" t="s">
        <v>191</v>
      </c>
      <c r="BC20" s="81"/>
      <c r="BD20" s="14">
        <v>0.5</v>
      </c>
      <c r="BE20" s="14">
        <v>5</v>
      </c>
      <c r="BF20" s="14">
        <v>0.03</v>
      </c>
      <c r="BG20" s="14">
        <v>5</v>
      </c>
      <c r="BH20" s="14">
        <v>6</v>
      </c>
      <c r="BI20" s="14">
        <v>6</v>
      </c>
      <c r="BJ20" s="14">
        <v>0.03</v>
      </c>
      <c r="BK20" s="77">
        <v>5</v>
      </c>
      <c r="BN20" s="76"/>
      <c r="BO20" s="14">
        <v>0.03</v>
      </c>
      <c r="BP20" s="77">
        <v>5</v>
      </c>
      <c r="BT20" s="241">
        <v>7</v>
      </c>
      <c r="BU20" t="b">
        <f>+'Fonti-Impieghi'!$E$12+'Fonti-Impieghi'!$E$13&gt;=('Fonti-Impieghi'!$E$9-'Fonti-Impieghi'!$E$21)*0.3</f>
        <v>1</v>
      </c>
      <c r="BV20" t="b">
        <f>+'Fonti-Impieghi'!E24&gt;='Fonti-Impieghi'!E9</f>
        <v>1</v>
      </c>
      <c r="BW20" s="68">
        <f t="shared" si="5"/>
        <v>1</v>
      </c>
    </row>
    <row r="21" spans="2:75" ht="25" customHeight="1" x14ac:dyDescent="0.35">
      <c r="B21" s="1" t="s">
        <v>235</v>
      </c>
      <c r="C21" s="24" t="s">
        <v>237</v>
      </c>
      <c r="E21" s="37" t="s">
        <v>191</v>
      </c>
      <c r="BC21" s="81"/>
      <c r="BD21" s="14">
        <v>0.75</v>
      </c>
      <c r="BE21" s="14">
        <v>6</v>
      </c>
      <c r="BF21" s="14">
        <v>0.05</v>
      </c>
      <c r="BG21" s="14">
        <v>6</v>
      </c>
      <c r="BH21" s="14">
        <v>8</v>
      </c>
      <c r="BI21" s="14">
        <v>5</v>
      </c>
      <c r="BJ21" s="14">
        <v>0.05</v>
      </c>
      <c r="BK21" s="77">
        <v>6</v>
      </c>
      <c r="BN21" s="76"/>
      <c r="BO21" s="14">
        <v>0.05</v>
      </c>
      <c r="BP21" s="77">
        <v>6</v>
      </c>
      <c r="BT21" s="241">
        <v>6</v>
      </c>
      <c r="BU21" t="b">
        <f>'Fonti-Impieghi'!$E$11&gt;='Fonti-Impieghi'!$E$9-'Fonti-Impieghi'!$E$21</f>
        <v>1</v>
      </c>
      <c r="BV21" t="b">
        <f>('Fonti-Impieghi'!E15+'Fonti-Impieghi'!E12+'Fonti-Impieghi'!E13)&lt;=('Fonti-Impieghi'!E9-'Fonti-Impieghi'!E21)*0.3</f>
        <v>1</v>
      </c>
      <c r="BW21" s="68">
        <f>+IF('Fonti-Impieghi'!E21+'Fonti-Impieghi'!E14&gt;='Fonti-Impieghi'!E9,0,+BU21*BV21)</f>
        <v>0</v>
      </c>
    </row>
    <row r="22" spans="2:75" ht="25" customHeight="1" x14ac:dyDescent="0.35">
      <c r="B22" s="1" t="s">
        <v>235</v>
      </c>
      <c r="C22" s="24" t="s">
        <v>238</v>
      </c>
      <c r="E22" s="37" t="s">
        <v>191</v>
      </c>
      <c r="BC22" s="81"/>
      <c r="BD22" s="14">
        <v>1</v>
      </c>
      <c r="BE22" s="14">
        <v>7</v>
      </c>
      <c r="BF22" s="14">
        <v>0.1</v>
      </c>
      <c r="BG22" s="14">
        <v>7</v>
      </c>
      <c r="BH22" s="14">
        <v>10</v>
      </c>
      <c r="BI22" s="14">
        <v>4</v>
      </c>
      <c r="BJ22" s="14">
        <v>0.1</v>
      </c>
      <c r="BK22" s="77">
        <v>7</v>
      </c>
      <c r="BN22" s="76"/>
      <c r="BO22" s="14">
        <v>0.1</v>
      </c>
      <c r="BP22" s="77">
        <v>7</v>
      </c>
      <c r="BT22" s="241">
        <v>6</v>
      </c>
      <c r="BU22" t="b">
        <f>OR(+'Fonti-Impieghi'!$E$19+'Fonti-Impieghi'!$E$21&gt;='Fonti-Impieghi'!$E$9,'Fonti-Impieghi'!E21+'Fonti-Impieghi'!E14&gt;='Fonti-Impieghi'!E9)</f>
        <v>1</v>
      </c>
      <c r="BV22">
        <v>1</v>
      </c>
      <c r="BW22" s="68">
        <f t="shared" si="5"/>
        <v>1</v>
      </c>
    </row>
    <row r="23" spans="2:75" ht="25" customHeight="1" x14ac:dyDescent="0.35">
      <c r="C23" s="24" t="s">
        <v>239</v>
      </c>
      <c r="E23" s="1" t="s">
        <v>240</v>
      </c>
      <c r="BC23" s="81"/>
      <c r="BD23" s="14">
        <v>1.25</v>
      </c>
      <c r="BE23" s="14">
        <v>8</v>
      </c>
      <c r="BF23" s="14">
        <v>0.15</v>
      </c>
      <c r="BG23" s="14">
        <v>8</v>
      </c>
      <c r="BH23" s="14">
        <v>12</v>
      </c>
      <c r="BI23" s="14">
        <v>3</v>
      </c>
      <c r="BJ23" s="14">
        <v>0.15</v>
      </c>
      <c r="BK23" s="77">
        <v>8</v>
      </c>
      <c r="BN23" s="76"/>
      <c r="BO23" s="14">
        <v>0.15</v>
      </c>
      <c r="BP23" s="77">
        <v>8</v>
      </c>
      <c r="BT23" s="241">
        <v>6</v>
      </c>
      <c r="BU23" t="b">
        <f>+'Fonti-Impieghi'!$E$17+'Fonti-Impieghi'!$E$21+IF($O$60&gt;=0.3*'Fonti-Impieghi'!$E$9,0.3*'Fonti-Impieghi'!$E$9,'Fonti-Impieghi'!$O$60)&gt;='Fonti-Impieghi'!$E$9</f>
        <v>1</v>
      </c>
      <c r="BV23" t="b">
        <f>+'Fonti-Impieghi'!E17&lt;=('Fonti-Impieghi'!E9-'Fonti-Impieghi'!E21)*0.3</f>
        <v>1</v>
      </c>
      <c r="BW23" s="68">
        <f>IF('Dati riepilogativi'!B2="Capo II",0,+BU23*BV23)</f>
        <v>1</v>
      </c>
    </row>
    <row r="24" spans="2:75" ht="25" customHeight="1" x14ac:dyDescent="0.35">
      <c r="B24" s="1" t="s">
        <v>241</v>
      </c>
      <c r="C24" s="24" t="s">
        <v>242</v>
      </c>
      <c r="E24" s="38" t="s">
        <v>195</v>
      </c>
      <c r="BC24" s="81"/>
      <c r="BD24" s="14">
        <v>1.5</v>
      </c>
      <c r="BE24" s="14">
        <v>9</v>
      </c>
      <c r="BF24" s="14">
        <v>0.2</v>
      </c>
      <c r="BG24" s="14">
        <v>9</v>
      </c>
      <c r="BH24" s="14">
        <v>14</v>
      </c>
      <c r="BI24" s="14">
        <v>2</v>
      </c>
      <c r="BJ24" s="14">
        <v>0.2</v>
      </c>
      <c r="BK24" s="77">
        <v>9</v>
      </c>
      <c r="BN24" s="76"/>
      <c r="BO24" s="14">
        <v>0.2</v>
      </c>
      <c r="BP24" s="77">
        <v>9</v>
      </c>
      <c r="BT24" s="241">
        <v>6</v>
      </c>
      <c r="BU24" t="b">
        <f>+AND(0.01+'Fonti-Impieghi'!E24&gt;='Fonti-Impieghi'!E9,BW26=0)</f>
        <v>1</v>
      </c>
      <c r="BV24" s="1">
        <v>1</v>
      </c>
      <c r="BW24" s="68">
        <f>+BU24*BV24</f>
        <v>1</v>
      </c>
    </row>
    <row r="25" spans="2:75" ht="25" customHeight="1" x14ac:dyDescent="0.35">
      <c r="B25" s="1" t="s">
        <v>241</v>
      </c>
      <c r="C25" s="24" t="s">
        <v>243</v>
      </c>
      <c r="E25" s="38" t="s">
        <v>195</v>
      </c>
      <c r="BC25" s="81"/>
      <c r="BD25" s="14">
        <v>2</v>
      </c>
      <c r="BE25" s="14">
        <v>10</v>
      </c>
      <c r="BF25" s="14">
        <v>0.25</v>
      </c>
      <c r="BG25" s="14">
        <v>10</v>
      </c>
      <c r="BH25" s="14">
        <v>16</v>
      </c>
      <c r="BI25" s="14">
        <v>1</v>
      </c>
      <c r="BJ25" s="14">
        <v>0.25</v>
      </c>
      <c r="BK25" s="77">
        <v>10</v>
      </c>
      <c r="BN25" s="76"/>
      <c r="BO25" s="14">
        <v>0.25</v>
      </c>
      <c r="BP25" s="77">
        <v>10</v>
      </c>
      <c r="BT25" s="241">
        <v>5</v>
      </c>
      <c r="BU25">
        <f>IF(AND('Fonti-Impieghi'!E21&gt;0,OR('Fonti-Impieghi'!E17&gt;0,'Fonti-Impieghi'!E11&gt;0),+'Fonti-Impieghi'!$E$24&lt;'Fonti-Impieghi'!$E$9),1,0)</f>
        <v>0</v>
      </c>
      <c r="BV25">
        <v>1</v>
      </c>
      <c r="BW25" s="68">
        <f>+BU25*BV25</f>
        <v>0</v>
      </c>
    </row>
    <row r="26" spans="2:75" ht="25" customHeight="1" x14ac:dyDescent="0.35">
      <c r="B26" s="1" t="s">
        <v>241</v>
      </c>
      <c r="C26" s="24" t="s">
        <v>244</v>
      </c>
      <c r="E26" s="38" t="s">
        <v>195</v>
      </c>
      <c r="I26"/>
      <c r="J26"/>
      <c r="K26"/>
      <c r="L26"/>
      <c r="M26"/>
      <c r="N26"/>
      <c r="O26"/>
      <c r="P26"/>
      <c r="Q26"/>
      <c r="R26"/>
      <c r="S26"/>
      <c r="T26"/>
      <c r="U26"/>
      <c r="V26"/>
      <c r="W26"/>
      <c r="X26"/>
      <c r="Y26"/>
      <c r="Z26"/>
      <c r="AA26"/>
      <c r="AB26"/>
      <c r="AC26"/>
      <c r="AD26"/>
      <c r="AE26"/>
      <c r="AF26"/>
      <c r="AG26"/>
      <c r="AH26"/>
      <c r="BC26" s="81"/>
      <c r="BF26" s="14"/>
      <c r="BK26" s="68"/>
      <c r="BN26" s="76"/>
      <c r="BP26" s="68"/>
      <c r="BT26" s="241">
        <v>5</v>
      </c>
      <c r="BU26">
        <f>+IF(AND('Fonti-Impieghi'!E18&gt;0,('Fonti-Impieghi'!$E$11+'Fonti-Impieghi'!$E$21+('Fonti-Impieghi'!$E$17-'Fonti-Impieghi'!$E$18)+MIN('Fonti-Impieghi'!E18,'Fonti-Impieghi'!E8))-'Fonti-Impieghi'!E9&lt;0),1,0)</f>
        <v>0</v>
      </c>
      <c r="BV26">
        <v>1</v>
      </c>
      <c r="BW26" s="68">
        <f>+BU26*BV26</f>
        <v>0</v>
      </c>
    </row>
    <row r="27" spans="2:75" ht="25" customHeight="1" x14ac:dyDescent="0.35">
      <c r="B27" s="1" t="s">
        <v>241</v>
      </c>
      <c r="C27" s="24" t="s">
        <v>245</v>
      </c>
      <c r="E27" s="38" t="s">
        <v>195</v>
      </c>
      <c r="I27"/>
      <c r="J27"/>
      <c r="K27"/>
      <c r="L27"/>
      <c r="M27"/>
      <c r="N27"/>
      <c r="O27"/>
      <c r="P27"/>
      <c r="Q27"/>
      <c r="R27"/>
      <c r="S27"/>
      <c r="T27"/>
      <c r="U27"/>
      <c r="V27"/>
      <c r="W27"/>
      <c r="X27"/>
      <c r="Y27"/>
      <c r="Z27"/>
      <c r="AA27"/>
      <c r="AB27"/>
      <c r="AC27"/>
      <c r="AD27"/>
      <c r="AE27"/>
      <c r="AF27"/>
      <c r="AG27"/>
      <c r="AH27"/>
      <c r="BC27" s="1658" t="s">
        <v>246</v>
      </c>
      <c r="BD27" s="14" t="s">
        <v>247</v>
      </c>
      <c r="BE27" s="14" t="str">
        <f>+IFERROR((+'SP-CE-RF'!C49+'SP-CE-RF'!C57+'SP-CE-RF'!C60+'SP-CE-RF'!C63+'SP-CE-RF'!C66)/'SP-CE-RF'!C18,"N.D.")</f>
        <v>N.D.</v>
      </c>
      <c r="BF27" s="14" t="s">
        <v>247</v>
      </c>
      <c r="BG27" s="102" t="str">
        <f>IFERROR(+'SP-CE-RF'!C49/'SP-CE-RF'!C48,"N.D.")</f>
        <v>N.D.</v>
      </c>
      <c r="BH27" s="14" t="s">
        <v>247</v>
      </c>
      <c r="BI27" s="99" t="str">
        <f>IFERROR(('SP-CE-RF'!C55+'SP-CE-RF'!C64 -'SP-CE-RF'!C46)/('SP-CE-RF'!N17-'SP-CE-RF'!N21+'SP-CE-RF'!N26+'SP-CE-RF'!N28),"N.D.")</f>
        <v>N.D.</v>
      </c>
      <c r="BJ27" s="14" t="s">
        <v>247</v>
      </c>
      <c r="BK27" s="77" t="str">
        <f>IFERROR(('SP-CE-RF'!N17-'SP-CE-RF'!N21+'SP-CE-RF'!N26+'SP-CE-RF'!N28)/'SP-CE-RF'!N17,"N.D.")</f>
        <v>N.D.</v>
      </c>
      <c r="BN27" s="76"/>
      <c r="BP27" s="68"/>
      <c r="BT27" s="241">
        <v>4</v>
      </c>
      <c r="BU27" t="b">
        <f ca="1">+('SP-CE-RF'!$P$60-'Fonti-Impieghi'!$C$21+'Fonti-Impieghi'!$C$5+'Fonti-Impieghi'!$C$6)&gt;='Fonti-Impieghi'!$E$9-'Fonti-Impieghi'!$E$21</f>
        <v>1</v>
      </c>
      <c r="BV27" t="b">
        <f>+AND(('Fonti-Impieghi'!E11+'Fonti-Impieghi'!E17)=0,'Fonti-Impieghi'!E21&gt;0)</f>
        <v>0</v>
      </c>
      <c r="BW27" s="68">
        <f ca="1">+BU27*BV27</f>
        <v>0</v>
      </c>
    </row>
    <row r="28" spans="2:75" ht="25" customHeight="1" x14ac:dyDescent="0.35">
      <c r="B28" s="1" t="s">
        <v>241</v>
      </c>
      <c r="C28" s="24" t="s">
        <v>248</v>
      </c>
      <c r="E28" s="38" t="s">
        <v>195</v>
      </c>
      <c r="I28"/>
      <c r="J28"/>
      <c r="K28"/>
      <c r="L28"/>
      <c r="M28"/>
      <c r="N28"/>
      <c r="O28"/>
      <c r="P28"/>
      <c r="Q28"/>
      <c r="R28"/>
      <c r="S28"/>
      <c r="T28"/>
      <c r="U28"/>
      <c r="V28"/>
      <c r="W28"/>
      <c r="X28"/>
      <c r="Y28"/>
      <c r="Z28"/>
      <c r="AA28"/>
      <c r="AB28"/>
      <c r="AC28"/>
      <c r="AD28"/>
      <c r="AE28"/>
      <c r="AF28"/>
      <c r="AG28"/>
      <c r="AH28"/>
      <c r="BC28" s="1658"/>
      <c r="BD28" s="14" t="s">
        <v>249</v>
      </c>
      <c r="BE28" s="14" t="str">
        <f>+IFERROR((+'SP-CE-RF'!D49+'SP-CE-RF'!D57+'SP-CE-RF'!D60+'SP-CE-RF'!D63+'SP-CE-RF'!D66)/'SP-CE-RF'!D18,"N.D.")</f>
        <v>N.D.</v>
      </c>
      <c r="BF28" s="14" t="s">
        <v>249</v>
      </c>
      <c r="BG28" s="99" t="str">
        <f>IFERROR(+'SP-CE-RF'!D49/'SP-CE-RF'!D48,"N.D.")</f>
        <v>N.D.</v>
      </c>
      <c r="BH28" s="14" t="s">
        <v>249</v>
      </c>
      <c r="BI28" s="99" t="str">
        <f>+IFERROR(('SP-CE-RF'!D55+'SP-CE-RF'!D64 -'SP-CE-RF'!D46)/('SP-CE-RF'!P17-'SP-CE-RF'!P21+'SP-CE-RF'!P26+'SP-CE-RF'!P28),"N.D.")</f>
        <v>N.D.</v>
      </c>
      <c r="BJ28" s="14" t="s">
        <v>249</v>
      </c>
      <c r="BK28" s="77" t="str">
        <f>IFERROR(('SP-CE-RF'!P17-'SP-CE-RF'!P21+'SP-CE-RF'!P26+'SP-CE-RF'!P28)/'SP-CE-RF'!P17,"N.D.")</f>
        <v>N.D.</v>
      </c>
      <c r="BN28" s="76"/>
      <c r="BO28" s="14" t="s">
        <v>250</v>
      </c>
      <c r="BP28" s="77" t="str">
        <f>+_xlfn.CONCAT("ANNO"," ",'SP-CE-RF'!C10)</f>
        <v>ANNO 5</v>
      </c>
      <c r="BT28" s="241">
        <v>3</v>
      </c>
      <c r="BU28"/>
      <c r="BV28"/>
      <c r="BW28" s="68">
        <f>IF($BW$30=3,1,0)</f>
        <v>0</v>
      </c>
    </row>
    <row r="29" spans="2:75" ht="25" customHeight="1" x14ac:dyDescent="0.35">
      <c r="B29" s="1" t="s">
        <v>251</v>
      </c>
      <c r="C29" s="24" t="s">
        <v>252</v>
      </c>
      <c r="E29" s="38" t="s">
        <v>195</v>
      </c>
      <c r="I29"/>
      <c r="J29"/>
      <c r="K29"/>
      <c r="L29"/>
      <c r="M29"/>
      <c r="N29"/>
      <c r="O29"/>
      <c r="P29"/>
      <c r="Q29"/>
      <c r="R29"/>
      <c r="S29"/>
      <c r="T29"/>
      <c r="U29"/>
      <c r="V29"/>
      <c r="W29"/>
      <c r="X29"/>
      <c r="Y29"/>
      <c r="Z29"/>
      <c r="AA29"/>
      <c r="AB29"/>
      <c r="AC29"/>
      <c r="AD29"/>
      <c r="AE29"/>
      <c r="AF29"/>
      <c r="AG29"/>
      <c r="AH29"/>
      <c r="BC29" s="1658"/>
      <c r="BD29" s="14" t="s">
        <v>253</v>
      </c>
      <c r="BE29" s="14" t="str">
        <f>+IFERROR((+'SP-CE-RF'!E49+'SP-CE-RF'!E57+'SP-CE-RF'!E60+'SP-CE-RF'!E63+'SP-CE-RF'!E66)/'SP-CE-RF'!E18,"N.D.")</f>
        <v>N.D.</v>
      </c>
      <c r="BF29" s="14" t="s">
        <v>253</v>
      </c>
      <c r="BG29" s="99" t="str">
        <f>IFERROR(+'SP-CE-RF'!E49/'SP-CE-RF'!E48,"N.D.")</f>
        <v>N.D.</v>
      </c>
      <c r="BH29" s="14" t="s">
        <v>253</v>
      </c>
      <c r="BI29" s="99" t="str">
        <f>IFERROR(('SP-CE-RF'!E55+'SP-CE-RF'!E64 -'SP-CE-RF'!E46)/('SP-CE-RF'!R17-'SP-CE-RF'!R21+'SP-CE-RF'!R26+'SP-CE-RF'!R28),"N.D.")</f>
        <v>N.D.</v>
      </c>
      <c r="BJ29" s="14" t="s">
        <v>253</v>
      </c>
      <c r="BK29" s="77" t="str">
        <f>IFERROR(('SP-CE-RF'!R17-'SP-CE-RF'!R21+'SP-CE-RF'!R26+'SP-CE-RF'!R28)/'SP-CE-RF'!R17,"N.D.")</f>
        <v>N.D.</v>
      </c>
      <c r="BN29" s="76"/>
      <c r="BO29" s="14" t="s">
        <v>254</v>
      </c>
      <c r="BP29" s="155" t="e">
        <f>(+INDEX('SP-CE-RF'!M15:AE37,16,MATCH(Analisi!BP28,'SP-CE-RF'!M16:AE16,0))+INDEX('SP-CE-RF'!M15:AE37,14,MATCH(Analisi!BP28,'SP-CE-RF'!M16:AE16,0))+INDEX('SP-CE-RF'!M15:AE37,12,MATCH(Analisi!BP28,'SP-CE-RF'!M16:AE16,0)))/+INDEX('SP-CE-RF'!M15:AE37,3,MATCH(Analisi!BP28,'SP-CE-RF'!M16:AE16,0))</f>
        <v>#DIV/0!</v>
      </c>
      <c r="BT29" s="241">
        <v>2</v>
      </c>
      <c r="BU29" t="b">
        <f>+'Fonti-Impieghi'!$E$24='Fonti-Impieghi'!$E$21</f>
        <v>1</v>
      </c>
      <c r="BV29">
        <v>1</v>
      </c>
      <c r="BW29" s="68">
        <f>+BU29*BV29</f>
        <v>1</v>
      </c>
    </row>
    <row r="30" spans="2:75" ht="25" customHeight="1" x14ac:dyDescent="0.35">
      <c r="B30" s="1" t="s">
        <v>251</v>
      </c>
      <c r="C30" s="24" t="s">
        <v>255</v>
      </c>
      <c r="E30" s="38" t="s">
        <v>195</v>
      </c>
      <c r="I30"/>
      <c r="J30"/>
      <c r="K30"/>
      <c r="L30"/>
      <c r="M30"/>
      <c r="N30"/>
      <c r="O30"/>
      <c r="P30"/>
      <c r="Q30"/>
      <c r="R30"/>
      <c r="S30"/>
      <c r="T30"/>
      <c r="U30"/>
      <c r="V30"/>
      <c r="W30"/>
      <c r="X30"/>
      <c r="Y30"/>
      <c r="Z30"/>
      <c r="AA30"/>
      <c r="AB30"/>
      <c r="AC30"/>
      <c r="AD30"/>
      <c r="AE30"/>
      <c r="AF30"/>
      <c r="AG30"/>
      <c r="AH30"/>
      <c r="BC30" s="76"/>
      <c r="BD30" s="14"/>
      <c r="BE30" s="14"/>
      <c r="BF30" s="14"/>
      <c r="BG30" s="14"/>
      <c r="BH30" s="14"/>
      <c r="BI30" s="14"/>
      <c r="BJ30" s="14"/>
      <c r="BK30" s="77"/>
      <c r="BN30" s="82"/>
      <c r="BO30" s="156" t="s">
        <v>227</v>
      </c>
      <c r="BP30" s="103" t="e">
        <f>+IF(BP29&lt;-0.03,1,+VLOOKUP(BP29,$BJ$16:$BK$25,2,TRUE))</f>
        <v>#DIV/0!</v>
      </c>
      <c r="BT30" s="242"/>
      <c r="BU30" s="243"/>
      <c r="BV30" s="243"/>
      <c r="BW30" s="103">
        <f>IFERROR(IF('Fonti-Impieghi'!E21&gt;(('Fonti-Impieghi'!E7+'Fonti-Impieghi'!E5)+0.01)*0.9,3,IF('Fonti-Impieghi'!E9+'Fonti-Impieghi'!E24=0,2,+INDEX(BT17:BW29,MATCH(1,BW17:BW29,0),1))),"N.D.")</f>
        <v>2</v>
      </c>
    </row>
    <row r="31" spans="2:75" ht="25" customHeight="1" x14ac:dyDescent="0.35">
      <c r="B31" s="1" t="s">
        <v>251</v>
      </c>
      <c r="C31" s="24" t="s">
        <v>256</v>
      </c>
      <c r="E31" s="38" t="s">
        <v>195</v>
      </c>
      <c r="I31"/>
      <c r="J31"/>
      <c r="K31"/>
      <c r="L31"/>
      <c r="M31"/>
      <c r="N31"/>
      <c r="O31"/>
      <c r="P31"/>
      <c r="Q31"/>
      <c r="R31"/>
      <c r="S31"/>
      <c r="T31"/>
      <c r="U31"/>
      <c r="V31"/>
      <c r="W31"/>
      <c r="X31"/>
      <c r="Y31"/>
      <c r="Z31"/>
      <c r="AA31"/>
      <c r="AB31"/>
      <c r="AC31"/>
      <c r="AD31"/>
      <c r="AE31"/>
      <c r="AF31"/>
      <c r="AG31"/>
      <c r="AH31"/>
      <c r="BC31" s="1658" t="s">
        <v>257</v>
      </c>
      <c r="BD31" s="14" t="s">
        <v>247</v>
      </c>
      <c r="BE31" s="14">
        <f>+IFERROR(+VLOOKUP(BE27,$BD$16:$BE$25,2,TRUE),0)*W$5</f>
        <v>0</v>
      </c>
      <c r="BF31" s="14" t="s">
        <v>247</v>
      </c>
      <c r="BG31" s="14">
        <f>IFERROR(+IF(BG27&lt;-0.03,1,+VLOOKUP(BG27,$BF$16:$BG$25,2,TRUE)),0)*W$5</f>
        <v>0</v>
      </c>
      <c r="BH31" s="14" t="s">
        <v>247</v>
      </c>
      <c r="BI31" s="14">
        <f>IFERROR(+IF(BI27&lt;0,10,+VLOOKUP(BI27,$BH$17:$BI$25,2,TRUE)),0)*W$5</f>
        <v>0</v>
      </c>
      <c r="BJ31" s="14" t="s">
        <v>247</v>
      </c>
      <c r="BK31" s="77">
        <f>IFERROR(+IF(BK27&lt;-0.03,1,+VLOOKUP(BK27,$BJ$16:$BK$25,2,TRUE)),0)*W$5</f>
        <v>0</v>
      </c>
    </row>
    <row r="32" spans="2:75" ht="25" customHeight="1" x14ac:dyDescent="0.35">
      <c r="B32" s="1" t="s">
        <v>251</v>
      </c>
      <c r="C32" s="24" t="s">
        <v>258</v>
      </c>
      <c r="E32" s="38" t="s">
        <v>195</v>
      </c>
      <c r="I32"/>
      <c r="J32"/>
      <c r="K32"/>
      <c r="L32"/>
      <c r="M32"/>
      <c r="N32"/>
      <c r="O32"/>
      <c r="P32"/>
      <c r="Q32"/>
      <c r="R32"/>
      <c r="S32"/>
      <c r="T32"/>
      <c r="U32"/>
      <c r="V32"/>
      <c r="W32"/>
      <c r="X32"/>
      <c r="Y32"/>
      <c r="Z32"/>
      <c r="AA32"/>
      <c r="AB32"/>
      <c r="AC32"/>
      <c r="AD32"/>
      <c r="AE32"/>
      <c r="AF32"/>
      <c r="AG32"/>
      <c r="AH32"/>
      <c r="BC32" s="1658"/>
      <c r="BD32" s="14" t="s">
        <v>249</v>
      </c>
      <c r="BE32" s="14">
        <f>+IFERROR(+VLOOKUP(BE28,$BD$16:$BE$25,2,TRUE),0)*X$5</f>
        <v>0</v>
      </c>
      <c r="BF32" s="14" t="s">
        <v>249</v>
      </c>
      <c r="BG32" s="14">
        <f>IFERROR(+IF(BG28&lt;-0.03,1,+VLOOKUP(BG28,$BF$16:$BG$25,2,TRUE)),0)*X$5</f>
        <v>0</v>
      </c>
      <c r="BH32" s="14" t="s">
        <v>249</v>
      </c>
      <c r="BI32" s="14">
        <f>IFERROR(+IF(BI28&lt;0,10,+VLOOKUP(BI28,$BH$17:$BI$25,2,TRUE)),0)*X$5</f>
        <v>0</v>
      </c>
      <c r="BJ32" s="14" t="s">
        <v>249</v>
      </c>
      <c r="BK32" s="77">
        <f>IFERROR(+IF(BK28&lt;-0.03,1,+VLOOKUP(BK28,$BJ$16:$BK$25,2,TRUE)),0)*X$5</f>
        <v>0</v>
      </c>
    </row>
    <row r="33" spans="2:64" ht="25" customHeight="1" x14ac:dyDescent="0.35">
      <c r="B33" s="1" t="s">
        <v>251</v>
      </c>
      <c r="C33" s="24" t="s">
        <v>259</v>
      </c>
      <c r="E33" s="38" t="s">
        <v>195</v>
      </c>
      <c r="I33"/>
      <c r="J33"/>
      <c r="K33"/>
      <c r="L33"/>
      <c r="M33"/>
      <c r="N33"/>
      <c r="O33"/>
      <c r="P33"/>
      <c r="Q33"/>
      <c r="R33"/>
      <c r="S33"/>
      <c r="T33"/>
      <c r="U33"/>
      <c r="V33"/>
      <c r="W33"/>
      <c r="X33"/>
      <c r="Y33"/>
      <c r="Z33"/>
      <c r="AA33"/>
      <c r="AB33"/>
      <c r="AC33"/>
      <c r="AD33"/>
      <c r="AE33"/>
      <c r="AF33"/>
      <c r="AG33"/>
      <c r="AH33"/>
      <c r="BC33" s="1658"/>
      <c r="BD33" s="14" t="s">
        <v>253</v>
      </c>
      <c r="BE33" s="14">
        <f>+IFERROR(+VLOOKUP(BE29,$BD$16:$BE$25,2,TRUE),0)*Y$5</f>
        <v>0</v>
      </c>
      <c r="BF33" s="14" t="s">
        <v>253</v>
      </c>
      <c r="BG33" s="14">
        <f>IFERROR(+IF(BG29&lt;-0.03,1,+VLOOKUP(BG29,$BF$16:$BG$25,2,TRUE)),0)*Y$5</f>
        <v>0</v>
      </c>
      <c r="BH33" s="14" t="s">
        <v>253</v>
      </c>
      <c r="BI33" s="14">
        <f>IFERROR(+IF(BI29&lt;0,10,+VLOOKUP(BI29,$BH$17:$BI$25,2,TRUE)),0)*Y$5</f>
        <v>0</v>
      </c>
      <c r="BJ33" s="14" t="s">
        <v>253</v>
      </c>
      <c r="BK33" s="77">
        <f>IFERROR(+IF(BK29&lt;-0.03,1,+VLOOKUP(BK29,$BJ$16:$BK$25,2,TRUE)),0)*Y$5</f>
        <v>0</v>
      </c>
      <c r="BL33" s="245" t="s">
        <v>260</v>
      </c>
    </row>
    <row r="34" spans="2:64" ht="25" customHeight="1" x14ac:dyDescent="0.35">
      <c r="B34" s="1" t="s">
        <v>251</v>
      </c>
      <c r="C34" s="24" t="s">
        <v>261</v>
      </c>
      <c r="E34" s="38" t="s">
        <v>195</v>
      </c>
      <c r="I34"/>
      <c r="J34"/>
      <c r="K34"/>
      <c r="L34"/>
      <c r="M34"/>
      <c r="N34"/>
      <c r="O34"/>
      <c r="P34"/>
      <c r="Q34"/>
      <c r="R34"/>
      <c r="S34"/>
      <c r="T34"/>
      <c r="U34"/>
      <c r="V34"/>
      <c r="W34"/>
      <c r="X34"/>
      <c r="Y34"/>
      <c r="Z34"/>
      <c r="AA34"/>
      <c r="AB34"/>
      <c r="AC34"/>
      <c r="AD34"/>
      <c r="AE34"/>
      <c r="AF34"/>
      <c r="AG34"/>
      <c r="AH34"/>
      <c r="BC34" s="70" t="s">
        <v>262</v>
      </c>
      <c r="BD34" s="79"/>
      <c r="BE34" s="100">
        <f>+SUM(BE31:BE33)</f>
        <v>0</v>
      </c>
      <c r="BF34" s="71"/>
      <c r="BG34" s="100">
        <f>+SUM(BG31:BG33)</f>
        <v>0</v>
      </c>
      <c r="BH34" s="79"/>
      <c r="BI34" s="100">
        <f>+SUM(BI31:BI33)</f>
        <v>0</v>
      </c>
      <c r="BJ34" s="71"/>
      <c r="BK34" s="72">
        <f>+SUM(BK31:BK33)</f>
        <v>0</v>
      </c>
      <c r="BL34" s="246">
        <f>_xlfn.FLOOR.MATH(+(BE34+BG34+BI34+BK34)/4)</f>
        <v>0</v>
      </c>
    </row>
    <row r="35" spans="2:64" ht="25" customHeight="1" x14ac:dyDescent="0.35">
      <c r="B35" s="1" t="s">
        <v>251</v>
      </c>
      <c r="C35" s="24" t="s">
        <v>263</v>
      </c>
      <c r="E35" s="38" t="s">
        <v>195</v>
      </c>
      <c r="I35"/>
      <c r="J35"/>
      <c r="K35"/>
      <c r="L35"/>
      <c r="M35"/>
      <c r="N35"/>
      <c r="O35"/>
      <c r="P35"/>
      <c r="Q35"/>
      <c r="R35"/>
      <c r="S35"/>
      <c r="T35"/>
      <c r="U35"/>
      <c r="V35"/>
      <c r="W35"/>
      <c r="X35"/>
      <c r="Y35"/>
      <c r="Z35"/>
      <c r="AA35"/>
      <c r="AB35"/>
      <c r="AC35"/>
      <c r="AD35"/>
      <c r="AE35"/>
      <c r="AF35"/>
      <c r="AG35"/>
      <c r="AH35"/>
      <c r="BE35" s="14"/>
      <c r="BF35" s="14"/>
      <c r="BG35" s="14"/>
    </row>
    <row r="36" spans="2:64" ht="25" customHeight="1" x14ac:dyDescent="0.35">
      <c r="B36" s="1" t="s">
        <v>251</v>
      </c>
      <c r="C36" s="24" t="s">
        <v>264</v>
      </c>
      <c r="E36" s="38" t="s">
        <v>195</v>
      </c>
      <c r="I36"/>
      <c r="J36"/>
      <c r="K36"/>
      <c r="L36"/>
      <c r="M36"/>
      <c r="N36"/>
      <c r="O36"/>
      <c r="P36"/>
      <c r="Q36"/>
      <c r="R36"/>
      <c r="S36"/>
      <c r="T36"/>
      <c r="U36"/>
      <c r="V36"/>
      <c r="W36"/>
      <c r="X36"/>
      <c r="Y36"/>
      <c r="Z36"/>
      <c r="AA36"/>
      <c r="AB36"/>
      <c r="AC36"/>
      <c r="AD36"/>
      <c r="AE36"/>
      <c r="AF36"/>
      <c r="AG36"/>
      <c r="AH36"/>
    </row>
    <row r="37" spans="2:64" ht="25" customHeight="1" x14ac:dyDescent="0.35">
      <c r="B37" s="1" t="s">
        <v>251</v>
      </c>
      <c r="C37" s="24" t="s">
        <v>265</v>
      </c>
      <c r="E37" s="38" t="s">
        <v>195</v>
      </c>
      <c r="I37"/>
      <c r="J37"/>
      <c r="K37"/>
      <c r="L37"/>
      <c r="M37"/>
      <c r="N37"/>
      <c r="O37"/>
      <c r="P37"/>
      <c r="Q37"/>
      <c r="R37"/>
      <c r="S37"/>
      <c r="T37"/>
      <c r="U37"/>
      <c r="V37"/>
      <c r="W37"/>
      <c r="X37"/>
      <c r="Y37"/>
      <c r="Z37"/>
      <c r="AA37"/>
      <c r="AB37"/>
      <c r="AC37"/>
      <c r="AD37"/>
      <c r="AE37"/>
      <c r="AF37"/>
      <c r="AG37"/>
      <c r="AH37"/>
    </row>
    <row r="38" spans="2:64" ht="25" customHeight="1" x14ac:dyDescent="0.35">
      <c r="B38" s="1" t="s">
        <v>251</v>
      </c>
      <c r="C38" s="24" t="s">
        <v>266</v>
      </c>
      <c r="E38" s="38" t="s">
        <v>195</v>
      </c>
      <c r="I38"/>
      <c r="J38"/>
      <c r="K38"/>
      <c r="L38"/>
      <c r="M38"/>
      <c r="N38"/>
      <c r="O38"/>
      <c r="P38"/>
      <c r="Q38"/>
      <c r="R38"/>
      <c r="S38"/>
      <c r="T38"/>
      <c r="U38"/>
      <c r="V38"/>
      <c r="W38"/>
      <c r="X38"/>
      <c r="Y38"/>
      <c r="Z38"/>
      <c r="AA38"/>
      <c r="AB38"/>
      <c r="AC38"/>
      <c r="AD38"/>
      <c r="AE38"/>
      <c r="AF38"/>
      <c r="AG38"/>
      <c r="AH38"/>
    </row>
    <row r="39" spans="2:64" ht="25" customHeight="1" x14ac:dyDescent="0.35">
      <c r="B39" s="1" t="s">
        <v>251</v>
      </c>
      <c r="C39" s="24" t="s">
        <v>267</v>
      </c>
      <c r="E39" s="38" t="s">
        <v>195</v>
      </c>
      <c r="I39"/>
      <c r="J39"/>
      <c r="K39"/>
      <c r="L39"/>
      <c r="M39"/>
      <c r="N39"/>
      <c r="O39"/>
      <c r="P39"/>
      <c r="Q39"/>
      <c r="R39"/>
      <c r="S39"/>
      <c r="T39"/>
      <c r="U39"/>
      <c r="V39"/>
      <c r="W39"/>
      <c r="X39"/>
      <c r="Y39"/>
      <c r="Z39"/>
      <c r="AA39"/>
      <c r="AB39"/>
      <c r="AC39"/>
      <c r="AD39"/>
      <c r="AE39"/>
      <c r="AF39"/>
      <c r="AG39"/>
      <c r="AH39"/>
    </row>
    <row r="40" spans="2:64" ht="25" customHeight="1" x14ac:dyDescent="0.35">
      <c r="B40" s="1" t="s">
        <v>251</v>
      </c>
      <c r="C40" s="24" t="s">
        <v>268</v>
      </c>
      <c r="E40" s="38" t="s">
        <v>195</v>
      </c>
      <c r="I40"/>
      <c r="J40"/>
      <c r="K40"/>
      <c r="L40"/>
      <c r="M40"/>
      <c r="N40"/>
      <c r="O40"/>
      <c r="P40"/>
      <c r="Q40"/>
      <c r="R40"/>
      <c r="S40"/>
      <c r="T40"/>
      <c r="U40"/>
      <c r="V40"/>
      <c r="W40"/>
      <c r="X40"/>
      <c r="Y40"/>
      <c r="Z40"/>
      <c r="AA40"/>
      <c r="AB40"/>
      <c r="AC40"/>
      <c r="AD40"/>
      <c r="AE40"/>
      <c r="AF40"/>
      <c r="AG40"/>
      <c r="AH40"/>
      <c r="BC40" s="251" t="s">
        <v>34</v>
      </c>
      <c r="BD40" s="1654" t="s">
        <v>269</v>
      </c>
      <c r="BE40" s="1654"/>
      <c r="BF40" s="252" t="str">
        <f>IF('Dati riepilogativi'!B2="Capo II", "",IF('SP-CE-RF'!E50&lt;'Dati riepilogativi'!B11*0.5,"Non accoglibile","Accoglibile"))</f>
        <v>Accoglibile</v>
      </c>
    </row>
    <row r="41" spans="2:64" ht="25" customHeight="1" x14ac:dyDescent="0.35">
      <c r="B41" s="1" t="s">
        <v>251</v>
      </c>
      <c r="C41" s="24" t="s">
        <v>270</v>
      </c>
      <c r="E41" s="38" t="s">
        <v>195</v>
      </c>
      <c r="I41"/>
      <c r="J41"/>
      <c r="K41"/>
      <c r="L41"/>
      <c r="M41"/>
      <c r="N41"/>
      <c r="O41"/>
      <c r="P41"/>
      <c r="Q41"/>
      <c r="R41"/>
      <c r="S41"/>
      <c r="T41"/>
      <c r="U41"/>
      <c r="V41"/>
      <c r="W41"/>
      <c r="X41"/>
      <c r="Y41"/>
      <c r="Z41"/>
      <c r="AA41"/>
      <c r="AB41"/>
      <c r="AC41"/>
      <c r="AD41"/>
      <c r="AE41"/>
      <c r="AF41"/>
      <c r="AG41"/>
      <c r="AH41"/>
    </row>
    <row r="42" spans="2:64" ht="25" customHeight="1" x14ac:dyDescent="0.35">
      <c r="B42" s="1" t="s">
        <v>251</v>
      </c>
      <c r="C42" s="24" t="s">
        <v>271</v>
      </c>
      <c r="E42" s="38" t="s">
        <v>195</v>
      </c>
      <c r="I42"/>
      <c r="J42"/>
      <c r="K42"/>
      <c r="L42"/>
      <c r="M42"/>
      <c r="N42"/>
      <c r="O42"/>
      <c r="P42"/>
      <c r="Q42"/>
      <c r="R42"/>
      <c r="S42"/>
      <c r="T42"/>
      <c r="U42"/>
      <c r="V42"/>
      <c r="W42"/>
      <c r="X42"/>
      <c r="Y42"/>
      <c r="Z42"/>
      <c r="AA42"/>
      <c r="AB42"/>
      <c r="AC42"/>
      <c r="AD42"/>
      <c r="AE42"/>
      <c r="AF42"/>
      <c r="AG42"/>
      <c r="AH42"/>
    </row>
    <row r="43" spans="2:64" ht="25" customHeight="1" x14ac:dyDescent="0.35">
      <c r="B43" s="1" t="s">
        <v>251</v>
      </c>
      <c r="C43" s="24" t="s">
        <v>272</v>
      </c>
      <c r="E43" s="38" t="s">
        <v>195</v>
      </c>
      <c r="I43"/>
      <c r="J43"/>
      <c r="K43"/>
      <c r="L43"/>
      <c r="M43"/>
      <c r="N43"/>
      <c r="O43"/>
      <c r="P43"/>
      <c r="Q43"/>
      <c r="R43"/>
      <c r="S43"/>
      <c r="T43"/>
      <c r="U43"/>
      <c r="V43"/>
      <c r="W43"/>
      <c r="X43"/>
      <c r="Y43"/>
      <c r="Z43"/>
      <c r="AA43"/>
      <c r="AB43"/>
      <c r="AC43"/>
      <c r="AD43"/>
      <c r="AE43"/>
      <c r="AF43"/>
      <c r="AG43"/>
      <c r="AH43"/>
    </row>
    <row r="44" spans="2:64" ht="25" customHeight="1" x14ac:dyDescent="0.35">
      <c r="B44" s="1" t="s">
        <v>251</v>
      </c>
      <c r="C44" s="24" t="s">
        <v>273</v>
      </c>
      <c r="E44" s="38" t="s">
        <v>195</v>
      </c>
      <c r="I44"/>
      <c r="J44"/>
      <c r="K44"/>
      <c r="L44"/>
      <c r="M44"/>
      <c r="N44"/>
      <c r="O44"/>
      <c r="P44"/>
      <c r="Q44"/>
      <c r="R44"/>
      <c r="S44"/>
      <c r="T44"/>
      <c r="U44"/>
      <c r="V44"/>
      <c r="W44"/>
      <c r="X44"/>
      <c r="Y44"/>
      <c r="Z44"/>
      <c r="AA44"/>
      <c r="AB44"/>
      <c r="AC44"/>
      <c r="AD44"/>
      <c r="AE44"/>
      <c r="AF44"/>
      <c r="AG44"/>
      <c r="AH44"/>
    </row>
    <row r="45" spans="2:64" ht="25" customHeight="1" x14ac:dyDescent="0.35">
      <c r="B45" s="1" t="s">
        <v>251</v>
      </c>
      <c r="C45" s="24" t="s">
        <v>274</v>
      </c>
      <c r="E45" s="38" t="s">
        <v>195</v>
      </c>
      <c r="I45"/>
      <c r="J45"/>
      <c r="K45"/>
      <c r="L45"/>
      <c r="M45"/>
      <c r="N45"/>
      <c r="O45"/>
      <c r="P45"/>
      <c r="Q45"/>
      <c r="R45"/>
      <c r="S45"/>
      <c r="T45"/>
      <c r="U45"/>
      <c r="V45"/>
      <c r="W45"/>
      <c r="X45"/>
      <c r="Y45"/>
      <c r="Z45"/>
      <c r="AA45"/>
      <c r="AB45"/>
      <c r="AC45"/>
      <c r="AD45"/>
      <c r="AE45"/>
      <c r="AF45"/>
      <c r="AG45"/>
      <c r="AH45"/>
    </row>
    <row r="46" spans="2:64" ht="25" customHeight="1" x14ac:dyDescent="0.35">
      <c r="B46" s="1" t="s">
        <v>251</v>
      </c>
      <c r="C46" s="24" t="s">
        <v>275</v>
      </c>
      <c r="E46" s="38" t="s">
        <v>195</v>
      </c>
      <c r="I46"/>
      <c r="J46"/>
      <c r="K46"/>
      <c r="L46"/>
      <c r="M46"/>
      <c r="N46"/>
      <c r="O46"/>
      <c r="P46"/>
      <c r="Q46"/>
      <c r="R46"/>
      <c r="S46"/>
      <c r="T46"/>
      <c r="U46"/>
      <c r="V46"/>
      <c r="W46"/>
      <c r="X46"/>
      <c r="Y46"/>
      <c r="Z46"/>
      <c r="AA46"/>
      <c r="AB46"/>
      <c r="AC46"/>
      <c r="AD46"/>
      <c r="AE46"/>
      <c r="AF46"/>
      <c r="AG46"/>
      <c r="AH46"/>
    </row>
    <row r="47" spans="2:64" ht="25" customHeight="1" x14ac:dyDescent="0.35">
      <c r="B47" s="1" t="s">
        <v>251</v>
      </c>
      <c r="C47" s="24" t="s">
        <v>276</v>
      </c>
      <c r="E47" s="38" t="s">
        <v>195</v>
      </c>
      <c r="I47"/>
      <c r="J47"/>
      <c r="K47"/>
      <c r="L47"/>
      <c r="M47"/>
      <c r="N47"/>
      <c r="O47"/>
      <c r="P47"/>
      <c r="Q47"/>
      <c r="R47"/>
      <c r="S47"/>
      <c r="T47"/>
      <c r="U47"/>
      <c r="V47"/>
      <c r="W47"/>
      <c r="X47"/>
      <c r="Y47"/>
      <c r="Z47"/>
      <c r="AA47"/>
      <c r="AB47"/>
      <c r="AC47"/>
      <c r="AD47"/>
      <c r="AE47"/>
      <c r="AF47"/>
      <c r="AG47"/>
      <c r="AH47"/>
    </row>
    <row r="48" spans="2:64" ht="25" customHeight="1" x14ac:dyDescent="0.35">
      <c r="B48" s="1" t="s">
        <v>251</v>
      </c>
      <c r="C48" s="24" t="s">
        <v>277</v>
      </c>
      <c r="E48" s="38" t="s">
        <v>195</v>
      </c>
      <c r="I48"/>
      <c r="J48"/>
      <c r="K48"/>
      <c r="L48"/>
      <c r="M48"/>
      <c r="N48"/>
      <c r="O48"/>
      <c r="P48"/>
      <c r="Q48"/>
      <c r="R48"/>
      <c r="S48"/>
      <c r="T48"/>
      <c r="U48"/>
      <c r="V48"/>
      <c r="W48"/>
      <c r="X48"/>
      <c r="Y48"/>
      <c r="Z48"/>
      <c r="AA48"/>
      <c r="AB48"/>
      <c r="AC48"/>
      <c r="AD48"/>
      <c r="AE48"/>
      <c r="AF48"/>
      <c r="AG48"/>
      <c r="AH48"/>
    </row>
    <row r="49" spans="2:43" ht="25" customHeight="1" x14ac:dyDescent="0.35">
      <c r="B49" s="1" t="s">
        <v>251</v>
      </c>
      <c r="C49" s="24" t="s">
        <v>278</v>
      </c>
      <c r="E49" s="38" t="s">
        <v>195</v>
      </c>
      <c r="I49"/>
      <c r="J49"/>
      <c r="K49"/>
      <c r="L49"/>
      <c r="M49"/>
      <c r="N49"/>
      <c r="O49"/>
      <c r="P49"/>
      <c r="Q49"/>
      <c r="R49"/>
      <c r="S49"/>
      <c r="T49"/>
      <c r="U49"/>
      <c r="V49"/>
      <c r="W49"/>
      <c r="X49"/>
      <c r="Y49"/>
      <c r="Z49"/>
      <c r="AA49"/>
      <c r="AB49"/>
      <c r="AC49"/>
      <c r="AD49"/>
      <c r="AE49"/>
      <c r="AF49"/>
      <c r="AG49"/>
      <c r="AH49"/>
    </row>
    <row r="50" spans="2:43" ht="25" customHeight="1" x14ac:dyDescent="0.35">
      <c r="B50" s="1" t="s">
        <v>251</v>
      </c>
      <c r="C50" s="24" t="s">
        <v>279</v>
      </c>
      <c r="E50" s="38" t="s">
        <v>195</v>
      </c>
      <c r="I50"/>
      <c r="J50"/>
      <c r="K50"/>
      <c r="L50"/>
      <c r="M50"/>
      <c r="N50"/>
      <c r="O50"/>
      <c r="P50"/>
      <c r="Q50"/>
      <c r="R50"/>
      <c r="S50"/>
      <c r="T50"/>
      <c r="U50"/>
      <c r="V50"/>
      <c r="W50"/>
      <c r="X50"/>
      <c r="Y50"/>
      <c r="Z50"/>
      <c r="AA50"/>
      <c r="AB50"/>
      <c r="AC50"/>
      <c r="AD50"/>
      <c r="AE50"/>
      <c r="AF50"/>
      <c r="AG50"/>
      <c r="AH50"/>
    </row>
    <row r="51" spans="2:43" ht="25" customHeight="1" x14ac:dyDescent="0.35">
      <c r="B51" s="1" t="s">
        <v>251</v>
      </c>
      <c r="C51" s="24" t="s">
        <v>280</v>
      </c>
      <c r="E51" s="38" t="s">
        <v>195</v>
      </c>
      <c r="I51"/>
      <c r="J51"/>
      <c r="K51"/>
      <c r="L51"/>
      <c r="M51"/>
      <c r="N51"/>
      <c r="O51"/>
      <c r="P51"/>
      <c r="Q51"/>
      <c r="R51"/>
      <c r="S51"/>
      <c r="T51"/>
      <c r="U51"/>
      <c r="V51"/>
      <c r="W51"/>
      <c r="X51"/>
      <c r="Y51"/>
      <c r="Z51"/>
      <c r="AA51"/>
      <c r="AB51"/>
      <c r="AC51"/>
      <c r="AD51"/>
      <c r="AE51"/>
      <c r="AF51"/>
      <c r="AG51"/>
      <c r="AH51"/>
    </row>
    <row r="52" spans="2:43" ht="25" customHeight="1" x14ac:dyDescent="0.35">
      <c r="B52" s="1" t="s">
        <v>251</v>
      </c>
      <c r="C52" s="24" t="s">
        <v>281</v>
      </c>
      <c r="E52" s="38" t="s">
        <v>195</v>
      </c>
      <c r="I52"/>
      <c r="J52"/>
      <c r="K52"/>
      <c r="L52"/>
      <c r="M52"/>
      <c r="N52"/>
      <c r="O52"/>
      <c r="P52"/>
      <c r="Q52"/>
      <c r="R52"/>
      <c r="S52"/>
      <c r="T52"/>
      <c r="U52"/>
      <c r="V52"/>
      <c r="W52"/>
      <c r="X52"/>
      <c r="Y52"/>
      <c r="Z52"/>
      <c r="AA52"/>
      <c r="AB52"/>
      <c r="AC52"/>
      <c r="AD52"/>
      <c r="AE52"/>
      <c r="AF52"/>
      <c r="AG52"/>
      <c r="AH52"/>
      <c r="AI52"/>
      <c r="AJ52"/>
      <c r="AK52"/>
      <c r="AL52"/>
      <c r="AM52"/>
      <c r="AN52"/>
      <c r="AO52"/>
      <c r="AP52"/>
      <c r="AQ52"/>
    </row>
    <row r="53" spans="2:43" ht="25" customHeight="1" x14ac:dyDescent="0.35">
      <c r="C53" s="24" t="s">
        <v>282</v>
      </c>
      <c r="E53" s="1" t="s">
        <v>240</v>
      </c>
      <c r="W53"/>
      <c r="X53"/>
      <c r="Y53"/>
      <c r="Z53"/>
      <c r="AA53"/>
      <c r="AB53"/>
      <c r="AC53"/>
      <c r="AD53"/>
      <c r="AE53"/>
      <c r="AF53"/>
      <c r="AG53"/>
      <c r="AH53"/>
      <c r="AI53"/>
      <c r="AJ53"/>
      <c r="AK53"/>
      <c r="AL53"/>
      <c r="AM53"/>
      <c r="AN53"/>
      <c r="AO53"/>
      <c r="AP53"/>
      <c r="AQ53"/>
    </row>
    <row r="54" spans="2:43" ht="25" customHeight="1" x14ac:dyDescent="0.35">
      <c r="B54" s="39" t="s">
        <v>283</v>
      </c>
      <c r="C54" s="40" t="s">
        <v>284</v>
      </c>
      <c r="D54" s="39">
        <v>11</v>
      </c>
      <c r="E54" s="38" t="s">
        <v>195</v>
      </c>
      <c r="W54"/>
      <c r="X54"/>
      <c r="Y54"/>
      <c r="Z54"/>
      <c r="AA54"/>
      <c r="AB54"/>
      <c r="AC54"/>
      <c r="AD54"/>
      <c r="AE54"/>
      <c r="AF54"/>
      <c r="AG54"/>
      <c r="AH54"/>
      <c r="AI54"/>
      <c r="AJ54"/>
      <c r="AK54"/>
      <c r="AL54"/>
      <c r="AM54"/>
      <c r="AN54"/>
      <c r="AO54"/>
      <c r="AP54"/>
      <c r="AQ54"/>
    </row>
    <row r="55" spans="2:43" ht="25" customHeight="1" x14ac:dyDescent="0.35">
      <c r="B55" s="39" t="s">
        <v>283</v>
      </c>
      <c r="C55" s="40" t="s">
        <v>284</v>
      </c>
      <c r="D55" s="39">
        <v>12</v>
      </c>
      <c r="E55" s="41" t="s">
        <v>198</v>
      </c>
      <c r="H55" s="33"/>
      <c r="W55"/>
      <c r="X55"/>
      <c r="Y55"/>
      <c r="Z55"/>
      <c r="AA55"/>
      <c r="AB55"/>
      <c r="AC55"/>
      <c r="AD55"/>
      <c r="AE55"/>
      <c r="AF55"/>
      <c r="AG55"/>
      <c r="AH55"/>
      <c r="AI55"/>
      <c r="AJ55"/>
      <c r="AK55"/>
      <c r="AL55"/>
      <c r="AM55"/>
      <c r="AN55"/>
      <c r="AO55"/>
      <c r="AP55"/>
      <c r="AQ55"/>
    </row>
    <row r="56" spans="2:43" ht="25" customHeight="1" x14ac:dyDescent="0.35">
      <c r="B56" s="39" t="s">
        <v>283</v>
      </c>
      <c r="C56" s="40" t="s">
        <v>284</v>
      </c>
      <c r="D56" s="39">
        <v>13</v>
      </c>
      <c r="E56" s="41" t="s">
        <v>198</v>
      </c>
      <c r="W56"/>
      <c r="X56"/>
      <c r="Y56"/>
      <c r="Z56"/>
      <c r="AA56"/>
      <c r="AB56"/>
      <c r="AC56"/>
      <c r="AD56"/>
      <c r="AE56"/>
      <c r="AF56"/>
      <c r="AG56"/>
      <c r="AH56"/>
      <c r="AI56"/>
      <c r="AJ56"/>
      <c r="AK56"/>
      <c r="AL56"/>
      <c r="AM56"/>
      <c r="AN56"/>
      <c r="AO56"/>
      <c r="AP56"/>
      <c r="AQ56"/>
    </row>
    <row r="57" spans="2:43" ht="25" customHeight="1" x14ac:dyDescent="0.35">
      <c r="B57" s="39" t="s">
        <v>283</v>
      </c>
      <c r="C57" s="40" t="s">
        <v>284</v>
      </c>
      <c r="D57" s="39">
        <v>21</v>
      </c>
      <c r="E57" s="38" t="s">
        <v>195</v>
      </c>
      <c r="W57"/>
      <c r="X57"/>
      <c r="Y57"/>
      <c r="Z57"/>
      <c r="AA57"/>
      <c r="AB57"/>
      <c r="AC57"/>
      <c r="AD57"/>
      <c r="AE57"/>
      <c r="AF57"/>
      <c r="AG57"/>
      <c r="AH57"/>
      <c r="AI57"/>
      <c r="AJ57"/>
      <c r="AK57"/>
      <c r="AL57"/>
      <c r="AM57"/>
      <c r="AN57"/>
      <c r="AO57"/>
      <c r="AP57"/>
      <c r="AQ57"/>
    </row>
    <row r="58" spans="2:43" ht="25" customHeight="1" x14ac:dyDescent="0.35">
      <c r="B58" s="39" t="s">
        <v>283</v>
      </c>
      <c r="C58" s="40" t="s">
        <v>284</v>
      </c>
      <c r="D58" s="39">
        <v>22</v>
      </c>
      <c r="E58" s="41" t="s">
        <v>198</v>
      </c>
      <c r="W58"/>
      <c r="X58"/>
      <c r="Y58"/>
      <c r="Z58"/>
      <c r="AA58"/>
      <c r="AB58"/>
      <c r="AC58"/>
      <c r="AD58"/>
      <c r="AE58"/>
      <c r="AF58"/>
      <c r="AG58"/>
      <c r="AH58"/>
      <c r="AI58"/>
      <c r="AJ58"/>
      <c r="AK58"/>
      <c r="AL58"/>
      <c r="AM58"/>
      <c r="AN58"/>
      <c r="AO58"/>
      <c r="AP58"/>
      <c r="AQ58"/>
    </row>
    <row r="59" spans="2:43" ht="25" customHeight="1" x14ac:dyDescent="0.35">
      <c r="B59" s="39" t="s">
        <v>283</v>
      </c>
      <c r="C59" s="40" t="s">
        <v>284</v>
      </c>
      <c r="D59" s="39">
        <v>30</v>
      </c>
      <c r="E59" s="41" t="s">
        <v>198</v>
      </c>
      <c r="W59"/>
      <c r="X59"/>
      <c r="Y59"/>
      <c r="Z59"/>
      <c r="AA59"/>
      <c r="AB59"/>
      <c r="AC59"/>
      <c r="AD59"/>
      <c r="AE59"/>
      <c r="AF59"/>
      <c r="AG59"/>
      <c r="AH59"/>
      <c r="AI59"/>
      <c r="AJ59"/>
      <c r="AK59"/>
      <c r="AL59"/>
      <c r="AM59"/>
      <c r="AN59"/>
      <c r="AO59"/>
      <c r="AP59"/>
      <c r="AQ59"/>
    </row>
    <row r="60" spans="2:43" ht="25" customHeight="1" x14ac:dyDescent="0.35">
      <c r="B60" s="39" t="s">
        <v>283</v>
      </c>
      <c r="C60" s="40" t="s">
        <v>284</v>
      </c>
      <c r="D60" s="39"/>
      <c r="E60" s="41" t="s">
        <v>198</v>
      </c>
      <c r="W60"/>
      <c r="X60"/>
      <c r="Y60"/>
      <c r="Z60"/>
      <c r="AA60"/>
      <c r="AB60"/>
      <c r="AC60"/>
      <c r="AD60"/>
      <c r="AE60"/>
      <c r="AF60"/>
      <c r="AG60"/>
      <c r="AH60"/>
      <c r="AI60"/>
      <c r="AJ60"/>
      <c r="AK60"/>
      <c r="AL60"/>
      <c r="AM60"/>
      <c r="AN60"/>
      <c r="AO60"/>
      <c r="AP60"/>
      <c r="AQ60"/>
    </row>
    <row r="61" spans="2:43" ht="25" customHeight="1" x14ac:dyDescent="0.35">
      <c r="B61" s="1" t="s">
        <v>285</v>
      </c>
      <c r="C61" s="24" t="s">
        <v>286</v>
      </c>
      <c r="E61" s="41" t="s">
        <v>198</v>
      </c>
      <c r="W61"/>
      <c r="X61"/>
      <c r="Y61"/>
      <c r="Z61"/>
      <c r="AA61"/>
      <c r="AB61"/>
      <c r="AC61"/>
      <c r="AD61"/>
      <c r="AE61"/>
      <c r="AF61"/>
      <c r="AG61"/>
      <c r="AH61"/>
      <c r="AI61"/>
      <c r="AJ61"/>
      <c r="AK61"/>
      <c r="AL61"/>
      <c r="AM61"/>
      <c r="AN61"/>
      <c r="AO61"/>
      <c r="AP61"/>
      <c r="AQ61"/>
    </row>
    <row r="62" spans="2:43" ht="25" customHeight="1" x14ac:dyDescent="0.35">
      <c r="B62" s="1" t="s">
        <v>285</v>
      </c>
      <c r="C62" s="24" t="s">
        <v>287</v>
      </c>
      <c r="E62" s="41" t="s">
        <v>198</v>
      </c>
      <c r="W62"/>
      <c r="X62"/>
      <c r="Y62"/>
      <c r="Z62"/>
      <c r="AA62"/>
      <c r="AB62"/>
      <c r="AC62"/>
      <c r="AD62"/>
      <c r="AE62"/>
      <c r="AF62"/>
      <c r="AG62"/>
      <c r="AH62"/>
      <c r="AI62"/>
      <c r="AJ62"/>
      <c r="AK62"/>
      <c r="AL62"/>
      <c r="AM62"/>
      <c r="AN62"/>
      <c r="AO62"/>
      <c r="AP62"/>
      <c r="AQ62"/>
    </row>
    <row r="63" spans="2:43" ht="25" customHeight="1" x14ac:dyDescent="0.35">
      <c r="B63" s="1" t="s">
        <v>285</v>
      </c>
      <c r="C63" s="24" t="s">
        <v>288</v>
      </c>
      <c r="E63" s="41" t="s">
        <v>198</v>
      </c>
      <c r="W63"/>
      <c r="X63"/>
      <c r="Y63"/>
      <c r="Z63"/>
      <c r="AA63"/>
      <c r="AB63"/>
      <c r="AC63"/>
      <c r="AD63"/>
      <c r="AE63"/>
      <c r="AF63"/>
      <c r="AG63"/>
      <c r="AH63"/>
      <c r="AI63"/>
      <c r="AJ63"/>
      <c r="AK63"/>
      <c r="AL63"/>
      <c r="AM63"/>
      <c r="AN63"/>
      <c r="AO63"/>
      <c r="AP63"/>
      <c r="AQ63"/>
    </row>
    <row r="64" spans="2:43" ht="25" customHeight="1" x14ac:dyDescent="0.35">
      <c r="B64" s="1" t="s">
        <v>285</v>
      </c>
      <c r="C64" s="24" t="s">
        <v>289</v>
      </c>
      <c r="E64" s="41" t="s">
        <v>198</v>
      </c>
      <c r="W64"/>
      <c r="X64"/>
      <c r="Y64"/>
      <c r="Z64"/>
      <c r="AA64"/>
      <c r="AB64"/>
      <c r="AC64"/>
      <c r="AD64"/>
      <c r="AE64"/>
      <c r="AF64"/>
      <c r="AG64"/>
      <c r="AH64"/>
      <c r="AI64"/>
      <c r="AJ64"/>
      <c r="AK64"/>
      <c r="AL64"/>
      <c r="AM64"/>
      <c r="AN64"/>
      <c r="AO64"/>
      <c r="AP64"/>
      <c r="AQ64"/>
    </row>
    <row r="65" spans="2:43" ht="25" customHeight="1" x14ac:dyDescent="0.35">
      <c r="C65" s="24" t="s">
        <v>290</v>
      </c>
      <c r="E65" s="1" t="s">
        <v>240</v>
      </c>
      <c r="W65"/>
      <c r="X65"/>
      <c r="Y65"/>
      <c r="Z65"/>
      <c r="AA65"/>
      <c r="AB65"/>
      <c r="AC65"/>
      <c r="AD65"/>
      <c r="AE65"/>
      <c r="AF65"/>
      <c r="AG65"/>
      <c r="AH65"/>
      <c r="AI65"/>
      <c r="AJ65"/>
      <c r="AK65"/>
      <c r="AL65"/>
      <c r="AM65"/>
      <c r="AN65"/>
      <c r="AO65"/>
      <c r="AP65"/>
      <c r="AQ65"/>
    </row>
    <row r="66" spans="2:43" ht="25" customHeight="1" x14ac:dyDescent="0.35">
      <c r="B66" s="1" t="s">
        <v>291</v>
      </c>
      <c r="C66" s="24" t="s">
        <v>292</v>
      </c>
      <c r="E66" s="37" t="s">
        <v>202</v>
      </c>
      <c r="W66"/>
      <c r="X66"/>
      <c r="Y66"/>
      <c r="Z66"/>
      <c r="AA66"/>
      <c r="AB66"/>
      <c r="AC66"/>
      <c r="AD66"/>
      <c r="AE66"/>
      <c r="AF66"/>
      <c r="AG66"/>
      <c r="AH66"/>
      <c r="AI66"/>
      <c r="AJ66"/>
      <c r="AK66"/>
      <c r="AL66"/>
      <c r="AM66"/>
      <c r="AN66"/>
      <c r="AO66"/>
      <c r="AP66"/>
      <c r="AQ66"/>
    </row>
    <row r="67" spans="2:43" ht="25" customHeight="1" x14ac:dyDescent="0.2">
      <c r="B67" s="1" t="s">
        <v>291</v>
      </c>
      <c r="C67" s="24" t="s">
        <v>293</v>
      </c>
      <c r="E67" s="41" t="s">
        <v>205</v>
      </c>
    </row>
    <row r="68" spans="2:43" ht="25" customHeight="1" x14ac:dyDescent="0.2">
      <c r="B68" s="1" t="s">
        <v>291</v>
      </c>
      <c r="C68" s="24" t="s">
        <v>294</v>
      </c>
      <c r="E68" s="41" t="s">
        <v>205</v>
      </c>
    </row>
    <row r="69" spans="2:43" ht="25" customHeight="1" x14ac:dyDescent="0.2">
      <c r="C69" s="24" t="s">
        <v>295</v>
      </c>
      <c r="E69" s="1" t="s">
        <v>240</v>
      </c>
    </row>
    <row r="70" spans="2:43" ht="25" customHeight="1" x14ac:dyDescent="0.2">
      <c r="B70" s="1" t="s">
        <v>296</v>
      </c>
      <c r="C70" s="24" t="s">
        <v>297</v>
      </c>
      <c r="E70" s="42" t="s">
        <v>208</v>
      </c>
    </row>
    <row r="71" spans="2:43" ht="25" customHeight="1" x14ac:dyDescent="0.2">
      <c r="B71" s="1" t="s">
        <v>296</v>
      </c>
      <c r="C71" s="24" t="s">
        <v>298</v>
      </c>
      <c r="E71" s="42" t="s">
        <v>208</v>
      </c>
    </row>
    <row r="72" spans="2:43" ht="25" customHeight="1" x14ac:dyDescent="0.2">
      <c r="B72" s="1" t="s">
        <v>296</v>
      </c>
      <c r="C72" s="24" t="s">
        <v>299</v>
      </c>
      <c r="E72" s="43" t="s">
        <v>211</v>
      </c>
    </row>
    <row r="73" spans="2:43" ht="25" customHeight="1" x14ac:dyDescent="0.2">
      <c r="C73" s="24" t="s">
        <v>300</v>
      </c>
      <c r="E73" s="1" t="s">
        <v>240</v>
      </c>
    </row>
    <row r="74" spans="2:43" ht="25" customHeight="1" x14ac:dyDescent="0.25">
      <c r="B74" s="39" t="s">
        <v>301</v>
      </c>
      <c r="C74" s="40" t="s">
        <v>302</v>
      </c>
      <c r="D74" s="39">
        <v>50</v>
      </c>
      <c r="E74" s="41" t="s">
        <v>198</v>
      </c>
    </row>
    <row r="75" spans="2:43" ht="25" customHeight="1" x14ac:dyDescent="0.2">
      <c r="B75" s="1" t="s">
        <v>301</v>
      </c>
      <c r="C75" s="24" t="s">
        <v>302</v>
      </c>
      <c r="E75" s="44" t="s">
        <v>214</v>
      </c>
    </row>
    <row r="76" spans="2:43" ht="25" customHeight="1" x14ac:dyDescent="0.2">
      <c r="B76" s="1" t="s">
        <v>301</v>
      </c>
      <c r="C76" s="24" t="s">
        <v>303</v>
      </c>
      <c r="E76" s="44" t="s">
        <v>214</v>
      </c>
    </row>
    <row r="77" spans="2:43" ht="25" customHeight="1" x14ac:dyDescent="0.2">
      <c r="B77" s="1" t="s">
        <v>301</v>
      </c>
      <c r="C77" s="24" t="s">
        <v>304</v>
      </c>
      <c r="E77" s="44" t="s">
        <v>214</v>
      </c>
    </row>
    <row r="78" spans="2:43" ht="25" customHeight="1" x14ac:dyDescent="0.2">
      <c r="B78" s="1" t="s">
        <v>301</v>
      </c>
      <c r="C78" s="24" t="s">
        <v>305</v>
      </c>
      <c r="E78" s="44" t="s">
        <v>214</v>
      </c>
    </row>
    <row r="79" spans="2:43" ht="25" customHeight="1" x14ac:dyDescent="0.2">
      <c r="B79" s="1" t="s">
        <v>301</v>
      </c>
      <c r="C79" s="24" t="s">
        <v>306</v>
      </c>
      <c r="E79" s="44" t="s">
        <v>214</v>
      </c>
    </row>
    <row r="80" spans="2:43" ht="25" customHeight="1" x14ac:dyDescent="0.2">
      <c r="C80" s="24" t="s">
        <v>307</v>
      </c>
      <c r="E80" s="1" t="s">
        <v>240</v>
      </c>
    </row>
    <row r="81" spans="2:5" ht="25" customHeight="1" x14ac:dyDescent="0.2">
      <c r="B81" s="1" t="s">
        <v>308</v>
      </c>
      <c r="C81" s="24" t="s">
        <v>309</v>
      </c>
      <c r="E81" s="44" t="s">
        <v>214</v>
      </c>
    </row>
    <row r="82" spans="2:5" ht="25" customHeight="1" x14ac:dyDescent="0.2">
      <c r="B82" s="1" t="s">
        <v>308</v>
      </c>
      <c r="C82" s="24" t="s">
        <v>310</v>
      </c>
      <c r="E82" s="43" t="s">
        <v>211</v>
      </c>
    </row>
    <row r="83" spans="2:5" ht="25" customHeight="1" x14ac:dyDescent="0.2">
      <c r="C83" s="24" t="s">
        <v>311</v>
      </c>
      <c r="E83" s="1" t="s">
        <v>240</v>
      </c>
    </row>
    <row r="84" spans="2:5" ht="25" customHeight="1" x14ac:dyDescent="0.2">
      <c r="B84" s="1" t="s">
        <v>312</v>
      </c>
      <c r="C84" s="24" t="s">
        <v>313</v>
      </c>
      <c r="E84" s="45" t="s">
        <v>216</v>
      </c>
    </row>
    <row r="85" spans="2:5" ht="25" customHeight="1" x14ac:dyDescent="0.2">
      <c r="B85" s="1" t="s">
        <v>312</v>
      </c>
      <c r="C85" s="24" t="s">
        <v>314</v>
      </c>
      <c r="E85" s="45" t="s">
        <v>216</v>
      </c>
    </row>
    <row r="86" spans="2:5" ht="25" customHeight="1" x14ac:dyDescent="0.2">
      <c r="B86" s="1" t="s">
        <v>312</v>
      </c>
      <c r="C86" s="24" t="s">
        <v>315</v>
      </c>
      <c r="E86" s="45" t="s">
        <v>216</v>
      </c>
    </row>
    <row r="87" spans="2:5" ht="25" customHeight="1" x14ac:dyDescent="0.2">
      <c r="B87" s="1" t="s">
        <v>312</v>
      </c>
      <c r="C87" s="24" t="s">
        <v>316</v>
      </c>
      <c r="E87" s="45" t="s">
        <v>216</v>
      </c>
    </row>
    <row r="88" spans="2:5" ht="25" customHeight="1" x14ac:dyDescent="0.2">
      <c r="B88" s="1" t="s">
        <v>312</v>
      </c>
      <c r="C88" s="24" t="s">
        <v>317</v>
      </c>
      <c r="E88" s="45" t="s">
        <v>216</v>
      </c>
    </row>
    <row r="89" spans="2:5" ht="25" customHeight="1" x14ac:dyDescent="0.2">
      <c r="B89" s="1" t="s">
        <v>312</v>
      </c>
      <c r="C89" s="24" t="s">
        <v>318</v>
      </c>
      <c r="E89" s="45" t="s">
        <v>216</v>
      </c>
    </row>
    <row r="90" spans="2:5" ht="25" customHeight="1" x14ac:dyDescent="0.2">
      <c r="B90" s="1" t="s">
        <v>319</v>
      </c>
      <c r="C90" s="24" t="s">
        <v>320</v>
      </c>
      <c r="E90" s="1" t="s">
        <v>321</v>
      </c>
    </row>
    <row r="91" spans="2:5" ht="25" customHeight="1" x14ac:dyDescent="0.2">
      <c r="B91" s="1" t="s">
        <v>319</v>
      </c>
      <c r="C91" s="24" t="s">
        <v>322</v>
      </c>
      <c r="E91" s="1" t="s">
        <v>321</v>
      </c>
    </row>
    <row r="92" spans="2:5" ht="25" customHeight="1" x14ac:dyDescent="0.2">
      <c r="B92" s="1" t="s">
        <v>319</v>
      </c>
      <c r="C92" s="24" t="s">
        <v>323</v>
      </c>
      <c r="E92" s="1" t="s">
        <v>321</v>
      </c>
    </row>
    <row r="93" spans="2:5" ht="25" customHeight="1" x14ac:dyDescent="0.2">
      <c r="C93" s="24" t="s">
        <v>324</v>
      </c>
      <c r="E93" s="1" t="s">
        <v>240</v>
      </c>
    </row>
    <row r="94" spans="2:5" ht="25" customHeight="1" x14ac:dyDescent="0.2">
      <c r="B94" s="1" t="s">
        <v>325</v>
      </c>
      <c r="C94" s="24" t="s">
        <v>326</v>
      </c>
      <c r="E94" s="1" t="s">
        <v>321</v>
      </c>
    </row>
    <row r="95" spans="2:5" ht="25" customHeight="1" x14ac:dyDescent="0.25">
      <c r="B95" s="46" t="s">
        <v>327</v>
      </c>
      <c r="C95" s="47" t="s">
        <v>328</v>
      </c>
      <c r="D95" s="39"/>
      <c r="E95" s="45" t="s">
        <v>216</v>
      </c>
    </row>
    <row r="96" spans="2:5" ht="25" customHeight="1" x14ac:dyDescent="0.25">
      <c r="B96" s="46" t="s">
        <v>327</v>
      </c>
      <c r="C96" s="47" t="s">
        <v>329</v>
      </c>
      <c r="D96" s="39"/>
      <c r="E96" s="45" t="s">
        <v>216</v>
      </c>
    </row>
    <row r="97" spans="2:5" ht="25" customHeight="1" x14ac:dyDescent="0.25">
      <c r="B97" s="46" t="s">
        <v>327</v>
      </c>
      <c r="C97" s="47" t="s">
        <v>330</v>
      </c>
      <c r="D97" s="39"/>
      <c r="E97" s="45" t="s">
        <v>216</v>
      </c>
    </row>
    <row r="98" spans="2:5" ht="25" customHeight="1" x14ac:dyDescent="0.25">
      <c r="B98" s="46" t="s">
        <v>327</v>
      </c>
      <c r="C98" s="47" t="s">
        <v>331</v>
      </c>
      <c r="D98" s="39"/>
      <c r="E98" s="45" t="s">
        <v>216</v>
      </c>
    </row>
    <row r="99" spans="2:5" ht="25" customHeight="1" x14ac:dyDescent="0.25">
      <c r="B99" s="46" t="s">
        <v>327</v>
      </c>
      <c r="C99" s="47" t="s">
        <v>332</v>
      </c>
      <c r="D99" s="39"/>
      <c r="E99" s="45" t="s">
        <v>216</v>
      </c>
    </row>
    <row r="100" spans="2:5" ht="25" customHeight="1" x14ac:dyDescent="0.25">
      <c r="B100" s="46" t="s">
        <v>327</v>
      </c>
      <c r="C100" s="47" t="s">
        <v>333</v>
      </c>
      <c r="D100" s="39"/>
      <c r="E100" s="45" t="s">
        <v>216</v>
      </c>
    </row>
    <row r="101" spans="2:5" ht="25" customHeight="1" x14ac:dyDescent="0.25">
      <c r="B101" s="46" t="s">
        <v>327</v>
      </c>
      <c r="C101" s="47" t="s">
        <v>334</v>
      </c>
      <c r="D101" s="39"/>
      <c r="E101" s="45" t="s">
        <v>216</v>
      </c>
    </row>
    <row r="102" spans="2:5" ht="25" customHeight="1" x14ac:dyDescent="0.25">
      <c r="B102" s="46" t="s">
        <v>335</v>
      </c>
      <c r="C102" s="47" t="s">
        <v>336</v>
      </c>
      <c r="D102" s="39"/>
      <c r="E102" s="45" t="s">
        <v>216</v>
      </c>
    </row>
    <row r="103" spans="2:5" ht="25" customHeight="1" x14ac:dyDescent="0.25">
      <c r="B103" s="46" t="s">
        <v>335</v>
      </c>
      <c r="C103" s="47" t="s">
        <v>337</v>
      </c>
      <c r="D103" s="39"/>
      <c r="E103" s="45" t="s">
        <v>216</v>
      </c>
    </row>
    <row r="104" spans="2:5" ht="25" customHeight="1" x14ac:dyDescent="0.25">
      <c r="B104" s="46" t="s">
        <v>335</v>
      </c>
      <c r="C104" s="47" t="s">
        <v>338</v>
      </c>
      <c r="D104" s="39"/>
      <c r="E104" s="45" t="s">
        <v>216</v>
      </c>
    </row>
    <row r="105" spans="2:5" ht="25" customHeight="1" x14ac:dyDescent="0.25">
      <c r="B105" s="46" t="s">
        <v>335</v>
      </c>
      <c r="C105" s="47" t="s">
        <v>339</v>
      </c>
      <c r="D105" s="39"/>
      <c r="E105" s="45" t="s">
        <v>216</v>
      </c>
    </row>
    <row r="106" spans="2:5" ht="25" customHeight="1" x14ac:dyDescent="0.25">
      <c r="B106" s="46" t="s">
        <v>335</v>
      </c>
      <c r="C106" s="47" t="s">
        <v>340</v>
      </c>
      <c r="D106" s="39"/>
      <c r="E106" s="45" t="s">
        <v>216</v>
      </c>
    </row>
    <row r="107" spans="2:5" ht="25" customHeight="1" x14ac:dyDescent="0.25">
      <c r="B107" s="46" t="s">
        <v>335</v>
      </c>
      <c r="C107" s="47" t="s">
        <v>341</v>
      </c>
      <c r="D107" s="39"/>
      <c r="E107" s="45" t="s">
        <v>216</v>
      </c>
    </row>
    <row r="108" spans="2:5" ht="25" customHeight="1" x14ac:dyDescent="0.25">
      <c r="B108" s="46" t="s">
        <v>335</v>
      </c>
      <c r="C108" s="47" t="s">
        <v>342</v>
      </c>
      <c r="D108" s="39"/>
      <c r="E108" s="45" t="s">
        <v>216</v>
      </c>
    </row>
    <row r="109" spans="2:5" ht="25" customHeight="1" x14ac:dyDescent="0.25">
      <c r="C109" s="24" t="s">
        <v>343</v>
      </c>
      <c r="D109" s="46"/>
      <c r="E109" s="1" t="s">
        <v>240</v>
      </c>
    </row>
    <row r="110" spans="2:5" ht="25" customHeight="1" x14ac:dyDescent="0.25">
      <c r="B110" s="46" t="s">
        <v>344</v>
      </c>
      <c r="C110" s="24" t="s">
        <v>345</v>
      </c>
      <c r="E110" s="1" t="s">
        <v>321</v>
      </c>
    </row>
    <row r="111" spans="2:5" ht="25" customHeight="1" x14ac:dyDescent="0.25">
      <c r="B111" s="46" t="s">
        <v>346</v>
      </c>
      <c r="C111" s="24" t="s">
        <v>347</v>
      </c>
      <c r="D111" s="39"/>
      <c r="E111" s="48" t="s">
        <v>218</v>
      </c>
    </row>
    <row r="112" spans="2:5" ht="25" customHeight="1" x14ac:dyDescent="0.25">
      <c r="B112" s="46" t="s">
        <v>348</v>
      </c>
      <c r="C112" s="24" t="s">
        <v>349</v>
      </c>
      <c r="D112" s="39"/>
      <c r="E112" s="48" t="s">
        <v>218</v>
      </c>
    </row>
    <row r="113" spans="2:5" ht="25" customHeight="1" x14ac:dyDescent="0.25">
      <c r="B113" s="46" t="s">
        <v>348</v>
      </c>
      <c r="C113" s="24" t="s">
        <v>350</v>
      </c>
      <c r="D113" s="39"/>
      <c r="E113" s="48" t="s">
        <v>218</v>
      </c>
    </row>
    <row r="114" spans="2:5" ht="25" customHeight="1" x14ac:dyDescent="0.25">
      <c r="B114" s="46" t="s">
        <v>348</v>
      </c>
      <c r="C114" s="24" t="s">
        <v>351</v>
      </c>
      <c r="D114" s="39"/>
      <c r="E114" s="48" t="s">
        <v>218</v>
      </c>
    </row>
    <row r="115" spans="2:5" ht="25" customHeight="1" x14ac:dyDescent="0.25">
      <c r="B115" s="46"/>
      <c r="C115" s="24" t="s">
        <v>352</v>
      </c>
      <c r="E115" s="1" t="s">
        <v>240</v>
      </c>
    </row>
    <row r="116" spans="2:5" ht="25" customHeight="1" x14ac:dyDescent="0.25">
      <c r="B116" s="46" t="s">
        <v>353</v>
      </c>
      <c r="C116" s="24" t="s">
        <v>354</v>
      </c>
      <c r="D116" s="39"/>
      <c r="E116" s="48" t="s">
        <v>218</v>
      </c>
    </row>
    <row r="117" spans="2:5" ht="25" customHeight="1" x14ac:dyDescent="0.25">
      <c r="B117" s="46" t="s">
        <v>353</v>
      </c>
      <c r="C117" s="24" t="s">
        <v>355</v>
      </c>
      <c r="D117" s="39"/>
      <c r="E117" s="48" t="s">
        <v>218</v>
      </c>
    </row>
    <row r="118" spans="2:5" ht="25" customHeight="1" x14ac:dyDescent="0.25">
      <c r="B118" s="46" t="s">
        <v>353</v>
      </c>
      <c r="C118" s="24" t="s">
        <v>356</v>
      </c>
      <c r="D118" s="39"/>
      <c r="E118" s="48" t="s">
        <v>218</v>
      </c>
    </row>
    <row r="119" spans="2:5" ht="25" customHeight="1" x14ac:dyDescent="0.25">
      <c r="B119" s="46" t="s">
        <v>353</v>
      </c>
      <c r="C119" s="24" t="s">
        <v>357</v>
      </c>
      <c r="D119" s="39"/>
      <c r="E119" s="48" t="s">
        <v>218</v>
      </c>
    </row>
    <row r="120" spans="2:5" ht="25" customHeight="1" x14ac:dyDescent="0.25">
      <c r="B120" s="46" t="s">
        <v>358</v>
      </c>
      <c r="C120" s="24" t="s">
        <v>359</v>
      </c>
      <c r="D120" s="39"/>
      <c r="E120" s="48" t="s">
        <v>218</v>
      </c>
    </row>
    <row r="121" spans="2:5" ht="25" customHeight="1" x14ac:dyDescent="0.25">
      <c r="B121" s="46" t="s">
        <v>358</v>
      </c>
      <c r="C121" s="24" t="s">
        <v>360</v>
      </c>
      <c r="D121" s="39"/>
      <c r="E121" s="48" t="s">
        <v>218</v>
      </c>
    </row>
    <row r="122" spans="2:5" ht="25" customHeight="1" x14ac:dyDescent="0.25">
      <c r="B122" s="46" t="s">
        <v>358</v>
      </c>
      <c r="C122" s="24" t="s">
        <v>361</v>
      </c>
      <c r="D122" s="39"/>
      <c r="E122" s="48" t="s">
        <v>218</v>
      </c>
    </row>
    <row r="123" spans="2:5" ht="25" customHeight="1" x14ac:dyDescent="0.25">
      <c r="B123" s="46" t="s">
        <v>362</v>
      </c>
      <c r="C123" s="47" t="s">
        <v>363</v>
      </c>
      <c r="E123" s="1" t="s">
        <v>321</v>
      </c>
    </row>
    <row r="124" spans="2:5" ht="25" customHeight="1" x14ac:dyDescent="0.25">
      <c r="B124" s="46" t="s">
        <v>362</v>
      </c>
      <c r="C124" s="47" t="s">
        <v>364</v>
      </c>
      <c r="E124" s="1" t="s">
        <v>321</v>
      </c>
    </row>
    <row r="125" spans="2:5" ht="25" customHeight="1" x14ac:dyDescent="0.25">
      <c r="B125" s="46" t="s">
        <v>365</v>
      </c>
      <c r="C125" s="47" t="s">
        <v>366</v>
      </c>
      <c r="E125" s="1" t="s">
        <v>321</v>
      </c>
    </row>
  </sheetData>
  <mergeCells count="17">
    <mergeCell ref="U9:U10"/>
    <mergeCell ref="AC3:AD3"/>
    <mergeCell ref="AE3:AF3"/>
    <mergeCell ref="AG3:AH3"/>
    <mergeCell ref="AI3:AJ3"/>
    <mergeCell ref="K2:K4"/>
    <mergeCell ref="L2:O2"/>
    <mergeCell ref="S3:T3"/>
    <mergeCell ref="L4:N4"/>
    <mergeCell ref="W4:Y4"/>
    <mergeCell ref="BD40:BE40"/>
    <mergeCell ref="BO14:BP14"/>
    <mergeCell ref="BH14:BI14"/>
    <mergeCell ref="BF14:BG14"/>
    <mergeCell ref="BC27:BC29"/>
    <mergeCell ref="BC31:BC33"/>
    <mergeCell ref="BD14:BE1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90931-B244-402A-83C2-996347E39F7D}">
  <sheetPr codeName="Foglio6">
    <tabColor rgb="FFFFFF00"/>
  </sheetPr>
  <dimension ref="B1:FG664"/>
  <sheetViews>
    <sheetView topLeftCell="ED31" zoomScale="70" zoomScaleNormal="70" workbookViewId="0">
      <selection activeCell="D20" sqref="D20"/>
    </sheetView>
  </sheetViews>
  <sheetFormatPr defaultColWidth="5.453125" defaultRowHeight="32.25" customHeight="1" outlineLevelCol="1" x14ac:dyDescent="0.2"/>
  <cols>
    <col min="1" max="1" width="6.81640625" style="51" customWidth="1"/>
    <col min="2" max="2" width="49.1796875" style="51" customWidth="1"/>
    <col min="3" max="3" width="15.1796875" style="51" bestFit="1" customWidth="1"/>
    <col min="4" max="6" width="15.54296875" style="51" bestFit="1" customWidth="1"/>
    <col min="7" max="7" width="17.7265625" style="51" bestFit="1" customWidth="1"/>
    <col min="8" max="8" width="11.453125" style="51" bestFit="1" customWidth="1"/>
    <col min="9" max="9" width="24.7265625" style="51" customWidth="1"/>
    <col min="10" max="10" width="13.26953125" style="51" customWidth="1"/>
    <col min="11" max="11" width="21.1796875" style="51" customWidth="1"/>
    <col min="12" max="12" width="8.7265625" style="51" customWidth="1"/>
    <col min="13" max="13" width="43.7265625" style="51" bestFit="1" customWidth="1"/>
    <col min="14" max="14" width="40.54296875" style="51" customWidth="1"/>
    <col min="15" max="15" width="25.7265625" style="51" bestFit="1" customWidth="1"/>
    <col min="16" max="17" width="29.7265625" style="51" bestFit="1" customWidth="1"/>
    <col min="18" max="19" width="13.81640625" style="51" bestFit="1" customWidth="1"/>
    <col min="20" max="20" width="24.453125" style="51" bestFit="1" customWidth="1"/>
    <col min="21" max="21" width="7.26953125" style="51" bestFit="1" customWidth="1"/>
    <col min="22" max="22" width="13.26953125" style="51" customWidth="1"/>
    <col min="23" max="23" width="7.26953125" style="51" bestFit="1" customWidth="1"/>
    <col min="24" max="24" width="11" style="51" bestFit="1" customWidth="1"/>
    <col min="25" max="28" width="40.54296875" style="51" customWidth="1"/>
    <col min="29" max="29" width="46.7265625" style="51" customWidth="1"/>
    <col min="30" max="31" width="40.54296875" style="51" customWidth="1"/>
    <col min="32" max="32" width="5.453125" style="51"/>
    <col min="33" max="33" width="5.453125" style="236"/>
    <col min="34" max="38" width="5.453125" style="51"/>
    <col min="39" max="45" width="28.54296875" style="51" customWidth="1" outlineLevel="1"/>
    <col min="46" max="47" width="5.453125" style="51" customWidth="1" outlineLevel="1"/>
    <col min="48" max="48" width="60.81640625" style="51" customWidth="1" outlineLevel="1"/>
    <col min="49" max="49" width="8.1796875" style="51" customWidth="1" outlineLevel="1"/>
    <col min="50" max="51" width="5.453125" style="51" customWidth="1" outlineLevel="1"/>
    <col min="52" max="52" width="8.81640625" style="51" customWidth="1" outlineLevel="1"/>
    <col min="53" max="56" width="5.453125" style="51" customWidth="1" outlineLevel="1"/>
    <col min="57" max="57" width="9.1796875" style="51" customWidth="1" outlineLevel="1"/>
    <col min="58" max="60" width="5.453125" style="51" customWidth="1" outlineLevel="1"/>
    <col min="61" max="61" width="25.26953125" style="51" customWidth="1" outlineLevel="1"/>
    <col min="62" max="65" width="5.453125" style="51" customWidth="1" outlineLevel="1"/>
    <col min="66" max="73" width="27.81640625" style="51" customWidth="1" outlineLevel="1"/>
    <col min="74" max="91" width="5.453125" style="51" customWidth="1" outlineLevel="1"/>
    <col min="92" max="92" width="21" style="51" customWidth="1" outlineLevel="1"/>
    <col min="93" max="93" width="5.453125" style="51" customWidth="1" outlineLevel="1"/>
    <col min="94" max="94" width="8.26953125" style="51" customWidth="1" outlineLevel="1"/>
    <col min="95" max="95" width="8.81640625" style="51" customWidth="1" outlineLevel="1"/>
    <col min="96" max="102" width="5.453125" style="51" customWidth="1" outlineLevel="1"/>
    <col min="103" max="103" width="15.453125" style="51" customWidth="1" outlineLevel="1"/>
    <col min="104" max="104" width="5.453125" style="51" customWidth="1" outlineLevel="1"/>
    <col min="105" max="105" width="8.26953125" style="51" customWidth="1" outlineLevel="1"/>
    <col min="106" max="108" width="5.453125" style="51" customWidth="1" outlineLevel="1"/>
    <col min="109" max="109" width="9" style="51" customWidth="1" outlineLevel="1"/>
    <col min="110" max="111" width="9.453125" style="51" customWidth="1" outlineLevel="1"/>
    <col min="112" max="116" width="5.453125" style="51" customWidth="1" outlineLevel="1"/>
    <col min="117" max="117" width="5.54296875" style="51" bestFit="1" customWidth="1"/>
    <col min="118" max="118" width="9.7265625" style="51" customWidth="1"/>
    <col min="119" max="119" width="17" style="51" customWidth="1"/>
    <col min="120" max="120" width="14.453125" style="51" customWidth="1"/>
    <col min="121" max="121" width="6.54296875" style="51" bestFit="1" customWidth="1"/>
    <col min="122" max="122" width="7.26953125" style="51" bestFit="1" customWidth="1"/>
    <col min="123" max="123" width="6.54296875" style="51" bestFit="1" customWidth="1"/>
    <col min="124" max="132" width="5.453125" style="51"/>
    <col min="133" max="133" width="5.54296875" style="51" customWidth="1"/>
    <col min="134" max="134" width="23" style="51" customWidth="1"/>
    <col min="135" max="135" width="17" style="51" customWidth="1"/>
    <col min="136" max="149" width="5.453125" style="51"/>
    <col min="150" max="150" width="0.1796875" style="51" customWidth="1"/>
    <col min="151" max="151" width="16.1796875" style="51" customWidth="1"/>
    <col min="152" max="152" width="72.453125" style="51" customWidth="1"/>
    <col min="153" max="153" width="11.1796875" style="51" customWidth="1"/>
    <col min="154" max="154" width="13" style="51" customWidth="1"/>
    <col min="155" max="155" width="11.81640625" style="51" customWidth="1"/>
    <col min="156" max="156" width="11" style="51" customWidth="1"/>
    <col min="157" max="157" width="5.453125" style="51"/>
    <col min="158" max="161" width="5.453125" style="1032"/>
    <col min="162" max="162" width="6.1796875" style="1032" bestFit="1" customWidth="1"/>
    <col min="163" max="163" width="5.453125" style="1032"/>
    <col min="164" max="164" width="5.453125" style="51"/>
    <col min="165" max="165" width="6.1796875" style="51" bestFit="1" customWidth="1"/>
    <col min="166" max="16384" width="5.453125" style="51"/>
  </cols>
  <sheetData>
    <row r="1" spans="2:163" ht="10" x14ac:dyDescent="0.2"/>
    <row r="2" spans="2:163" s="169" customFormat="1" ht="10" x14ac:dyDescent="0.2">
      <c r="B2" s="169" t="s">
        <v>33</v>
      </c>
      <c r="C2" s="169" t="str">
        <f>IF('Dati riepilogativi'!B2="CAPO II","X","")</f>
        <v/>
      </c>
      <c r="AG2" s="237"/>
      <c r="FB2" s="1032"/>
      <c r="FC2" s="1032"/>
      <c r="FD2" s="1032"/>
      <c r="FE2" s="1032"/>
      <c r="FF2" s="1032"/>
      <c r="FG2" s="1032"/>
    </row>
    <row r="3" spans="2:163" s="169" customFormat="1" ht="10.5" x14ac:dyDescent="0.2">
      <c r="AG3" s="237"/>
      <c r="ED3" s="1311" t="s">
        <v>367</v>
      </c>
      <c r="EE3" s="1312"/>
      <c r="FB3" s="1032"/>
      <c r="FC3" s="1032"/>
      <c r="FD3" s="1032"/>
      <c r="FE3" s="1032"/>
      <c r="FF3" s="1032"/>
      <c r="FG3" s="1032"/>
    </row>
    <row r="4" spans="2:163" s="169" customFormat="1" ht="10" x14ac:dyDescent="0.2">
      <c r="B4" s="169" t="s">
        <v>34</v>
      </c>
      <c r="C4" s="169" t="str">
        <f>IF('Dati riepilogativi'!B2="CAPO III","X","")</f>
        <v>X</v>
      </c>
      <c r="AG4" s="237"/>
      <c r="ED4" s="1262" t="s">
        <v>368</v>
      </c>
      <c r="EE4" s="1314">
        <v>0</v>
      </c>
      <c r="EI4" s="1313"/>
      <c r="FB4" s="1032"/>
      <c r="FC4" s="1032"/>
      <c r="FD4" s="1032"/>
      <c r="FE4" s="1032"/>
      <c r="FF4" s="1032"/>
      <c r="FG4" s="1032"/>
    </row>
    <row r="5" spans="2:163" s="169" customFormat="1" ht="10" x14ac:dyDescent="0.2">
      <c r="AG5" s="237"/>
      <c r="ED5" s="1262" t="s">
        <v>369</v>
      </c>
      <c r="EE5" s="1263">
        <f>IFERROR(+EE4*(+INDEX(Simulazione!M15:AE37,3,MATCH(Simulazione!DA36,Simulazione!M16:AE16,0))),0)</f>
        <v>0</v>
      </c>
      <c r="FB5" s="1032"/>
      <c r="FC5" s="1032"/>
      <c r="FD5" s="1032"/>
      <c r="FE5" s="1032"/>
      <c r="FF5" s="1032"/>
      <c r="FG5" s="1032"/>
    </row>
    <row r="6" spans="2:163" s="169" customFormat="1" ht="10.5" thickBot="1" x14ac:dyDescent="0.25">
      <c r="B6" s="169" t="s">
        <v>3</v>
      </c>
      <c r="C6" s="169">
        <f>+'Dati riepilogativi'!B3</f>
        <v>0</v>
      </c>
      <c r="AG6" s="237"/>
      <c r="ED6" s="1262" t="s">
        <v>370</v>
      </c>
      <c r="EE6" s="1263">
        <f>+IF(EE4&gt;0,AZ17,0)</f>
        <v>0</v>
      </c>
      <c r="FB6" s="1032"/>
      <c r="FC6" s="1032"/>
      <c r="FD6" s="1032"/>
      <c r="FE6" s="1032"/>
      <c r="FF6" s="1032"/>
      <c r="FG6" s="1032"/>
    </row>
    <row r="7" spans="2:163" s="169" customFormat="1" ht="22.5" customHeight="1" thickBot="1" x14ac:dyDescent="0.25">
      <c r="AG7" s="237"/>
      <c r="ED7" s="1668" t="s">
        <v>371</v>
      </c>
      <c r="EE7" s="1669"/>
      <c r="EF7" s="1313"/>
      <c r="EU7" s="132" t="s">
        <v>134</v>
      </c>
      <c r="EV7" s="1642" t="s">
        <v>135</v>
      </c>
      <c r="EW7" s="1642"/>
      <c r="EX7" s="1642"/>
      <c r="EY7" s="1642"/>
      <c r="EZ7" s="1643"/>
      <c r="FB7" s="1032"/>
      <c r="FC7" s="1032"/>
      <c r="FD7" s="1032"/>
      <c r="FE7" s="1032"/>
      <c r="FF7" s="1033"/>
      <c r="FG7" s="1032"/>
    </row>
    <row r="8" spans="2:163" s="169" customFormat="1" ht="13" customHeight="1" x14ac:dyDescent="0.2">
      <c r="B8" s="169" t="s">
        <v>4</v>
      </c>
      <c r="C8" s="170">
        <f>'Dati riepilogativi'!B4</f>
        <v>0</v>
      </c>
      <c r="AG8" s="237"/>
      <c r="ED8" s="1262" t="s">
        <v>372</v>
      </c>
      <c r="EE8" s="1263">
        <f>+IFERROR(+INDEX(Simulazione!M15:AE37,16,MATCH(Simulazione!DA36,Simulazione!M16:AE16,0))+INDEX(Simulazione!M15:AE37,14,MATCH(Simulazione!DA36,Simulazione!M16:AE16,0))+INDEX(Simulazione!M15:AE37,12,MATCH(Simulazione!DA36,Simulazione!M16:AE16,0)),0)</f>
        <v>0</v>
      </c>
      <c r="EU8" s="141" t="s">
        <v>136</v>
      </c>
      <c r="EV8" s="133"/>
      <c r="EW8" s="1644"/>
      <c r="EX8" s="134"/>
      <c r="EY8" s="135" t="s">
        <v>137</v>
      </c>
      <c r="EZ8" s="1646"/>
      <c r="FB8" s="1032"/>
      <c r="FC8" s="1032"/>
      <c r="FD8" s="1032"/>
      <c r="FE8" s="1032"/>
      <c r="FF8" s="1032"/>
      <c r="FG8" s="1032"/>
    </row>
    <row r="9" spans="2:163" s="169" customFormat="1" ht="15" customHeight="1" thickBot="1" x14ac:dyDescent="0.25">
      <c r="B9" s="169" t="s">
        <v>5</v>
      </c>
      <c r="C9" s="170">
        <f>+'Dati riepilogativi'!B5</f>
        <v>0</v>
      </c>
      <c r="AG9" s="237"/>
      <c r="AL9" s="1"/>
      <c r="AM9" s="1"/>
      <c r="AN9" s="1"/>
      <c r="AO9" s="1"/>
      <c r="AP9" s="1"/>
      <c r="AQ9" s="1"/>
      <c r="AR9" s="1"/>
      <c r="AS9" s="1"/>
      <c r="AT9" s="1"/>
      <c r="AU9" s="1"/>
      <c r="AV9" s="2" t="s">
        <v>166</v>
      </c>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682" t="s">
        <v>373</v>
      </c>
      <c r="DQ9" s="1682"/>
      <c r="DR9" s="1682"/>
      <c r="DS9" s="1682" t="s">
        <v>34</v>
      </c>
      <c r="DT9" s="1682"/>
      <c r="DU9" s="1"/>
      <c r="DV9" s="1"/>
      <c r="DW9" s="1"/>
      <c r="DX9" s="1"/>
      <c r="DY9" s="1"/>
      <c r="DZ9" s="1"/>
      <c r="EA9" s="1"/>
      <c r="EB9" s="1"/>
      <c r="ED9" s="1262" t="s">
        <v>374</v>
      </c>
      <c r="EE9" s="1264">
        <f>IFERROR(+DA37,0)</f>
        <v>0</v>
      </c>
      <c r="EU9" s="136" t="s">
        <v>139</v>
      </c>
      <c r="EV9" s="133"/>
      <c r="EW9" s="1644"/>
      <c r="EX9" s="137"/>
      <c r="EY9" s="138"/>
      <c r="EZ9" s="1646"/>
      <c r="FB9" s="1032"/>
      <c r="FC9" s="1032"/>
      <c r="FD9" s="1032"/>
      <c r="FE9" s="1032"/>
      <c r="FF9" s="1032"/>
      <c r="FG9" s="1032"/>
    </row>
    <row r="10" spans="2:163" ht="18.75" customHeight="1" thickBot="1" x14ac:dyDescent="0.4">
      <c r="B10" s="171" t="s">
        <v>35</v>
      </c>
      <c r="C10" s="172">
        <v>5</v>
      </c>
      <c r="N10" s="1633" t="str">
        <f>IF(C4&lt;&gt;"","Compilare il conto economico rappresentando in maniera unitaria la società nelle colonne ''SOCIETA' '' e rappresentare le variazioni positive e/o negative attese dal progetto presentato a finanziamento nella colonna ''Δ PROGETTO''","")</f>
        <v>Compilare il conto economico rappresentando in maniera unitaria la società nelle colonne ''SOCIETA' '' e rappresentare le variazioni positive e/o negative attese dal progetto presentato a finanziamento nella colonna ''Δ PROGETTO''</v>
      </c>
      <c r="O10" s="1633"/>
      <c r="P10" s="1633"/>
      <c r="Q10" s="1633"/>
      <c r="R10" s="1633"/>
      <c r="S10" s="1633"/>
      <c r="T10" s="1633"/>
      <c r="U10" s="1633"/>
      <c r="V10" s="1633"/>
      <c r="AL10" s="1"/>
      <c r="AM10" s="1"/>
      <c r="AN10" s="1"/>
      <c r="AO10" s="1"/>
      <c r="AP10" s="1"/>
      <c r="AQ10" s="1"/>
      <c r="AR10" s="1"/>
      <c r="AS10" s="1"/>
      <c r="AT10" s="1"/>
      <c r="AU10" s="1"/>
      <c r="AV10" s="1659" t="s">
        <v>167</v>
      </c>
      <c r="AW10" s="1660" t="s">
        <v>168</v>
      </c>
      <c r="AX10" s="1660"/>
      <c r="AY10" s="1660"/>
      <c r="AZ10" s="1661"/>
      <c r="BA10" s="1"/>
      <c r="BB10" s="1"/>
      <c r="BC10" s="1">
        <f>+Simulazione!C10</f>
        <v>5</v>
      </c>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254" t="s">
        <v>375</v>
      </c>
      <c r="DQ10" s="1682" t="s">
        <v>376</v>
      </c>
      <c r="DR10" s="1682"/>
      <c r="DS10" s="1682"/>
      <c r="DT10" s="1682"/>
      <c r="DU10" s="1"/>
      <c r="DV10" s="1"/>
      <c r="DW10" s="1"/>
      <c r="DX10" s="1"/>
      <c r="DY10"/>
      <c r="DZ10"/>
      <c r="EA10"/>
      <c r="EB10" s="1"/>
      <c r="ED10" s="1670" t="s">
        <v>377</v>
      </c>
      <c r="EE10" s="1671"/>
      <c r="EU10" s="139">
        <v>0</v>
      </c>
      <c r="EV10" s="133" t="s">
        <v>140</v>
      </c>
      <c r="EW10" s="1644"/>
      <c r="EX10" s="137" t="str">
        <f>+IFERROR(+IF(AND($CD$23=6,EY12&lt;&gt;6),"x",""),"")</f>
        <v/>
      </c>
      <c r="EY10" s="138" t="str">
        <f>+IF(EX10="x",6,"")</f>
        <v/>
      </c>
      <c r="EZ10" s="1646"/>
    </row>
    <row r="11" spans="2:163" ht="36" customHeight="1" x14ac:dyDescent="0.35">
      <c r="N11" s="1633"/>
      <c r="O11" s="1633"/>
      <c r="P11" s="1633"/>
      <c r="Q11" s="1633"/>
      <c r="R11" s="1633"/>
      <c r="S11" s="1633"/>
      <c r="T11" s="1633"/>
      <c r="U11" s="1633"/>
      <c r="V11" s="1633"/>
      <c r="AL11" s="1"/>
      <c r="AM11" s="3"/>
      <c r="AN11" s="4"/>
      <c r="AO11" s="5" t="s">
        <v>169</v>
      </c>
      <c r="AP11" s="5" t="s">
        <v>170</v>
      </c>
      <c r="AQ11" s="5" t="s">
        <v>171</v>
      </c>
      <c r="AR11" s="5" t="s">
        <v>172</v>
      </c>
      <c r="AS11" s="5" t="s">
        <v>173</v>
      </c>
      <c r="AT11" s="1"/>
      <c r="AU11" s="1"/>
      <c r="AV11" s="1659"/>
      <c r="AW11" s="143" t="s">
        <v>174</v>
      </c>
      <c r="AX11" s="143" t="s">
        <v>175</v>
      </c>
      <c r="AY11" s="143" t="s">
        <v>176</v>
      </c>
      <c r="AZ11" s="58" t="str">
        <f>+_xlfn.CONCAT("ANNO"," t",Simulazione!C10)</f>
        <v>ANNO t5</v>
      </c>
      <c r="BA11" s="1"/>
      <c r="BB11" s="6" t="s">
        <v>177</v>
      </c>
      <c r="BC11" s="6"/>
      <c r="BD11" s="1662" t="s">
        <v>178</v>
      </c>
      <c r="BE11" s="1662"/>
      <c r="BF11" s="6"/>
      <c r="BG11" s="1"/>
      <c r="BH11" s="1"/>
      <c r="BI11" s="1"/>
      <c r="BJ11" s="1"/>
      <c r="BK11" s="1"/>
      <c r="BL11" s="7">
        <v>0.05</v>
      </c>
      <c r="BM11" s="1"/>
      <c r="BN11" s="1666" t="s">
        <v>170</v>
      </c>
      <c r="BO11" s="1666"/>
      <c r="BP11" s="1666" t="s">
        <v>171</v>
      </c>
      <c r="BQ11" s="1666"/>
      <c r="BR11" s="1666" t="s">
        <v>172</v>
      </c>
      <c r="BS11" s="1666"/>
      <c r="BT11" s="1666" t="s">
        <v>173</v>
      </c>
      <c r="BU11" s="1667"/>
      <c r="BV11" s="1"/>
      <c r="BW11" s="1"/>
      <c r="BX11" s="1"/>
      <c r="BY11" s="1"/>
      <c r="BZ11" s="1"/>
      <c r="CA11" s="1"/>
      <c r="CB11" s="1"/>
      <c r="CC11" s="1"/>
      <c r="CD11" s="1"/>
      <c r="CE11" s="1"/>
      <c r="CF11" s="1"/>
      <c r="CG11" s="1"/>
      <c r="CH11" s="1"/>
      <c r="CI11" s="1"/>
      <c r="CJ11" s="1"/>
      <c r="CK11" s="1"/>
      <c r="CL11" s="1"/>
      <c r="CM11" s="1"/>
      <c r="CN11" s="1"/>
      <c r="CO11" s="64"/>
      <c r="CP11" s="65"/>
      <c r="CQ11" s="65"/>
      <c r="CR11" s="65"/>
      <c r="CS11" s="65"/>
      <c r="CT11" s="65"/>
      <c r="CU11" s="84" t="s">
        <v>179</v>
      </c>
      <c r="CV11" s="65" t="s">
        <v>180</v>
      </c>
      <c r="CW11" s="65"/>
      <c r="CX11" s="65"/>
      <c r="CY11" s="65"/>
      <c r="CZ11" s="65"/>
      <c r="DA11" s="65"/>
      <c r="DB11" s="65"/>
      <c r="DC11" s="65"/>
      <c r="DD11" s="65"/>
      <c r="DE11" s="65"/>
      <c r="DF11" s="65"/>
      <c r="DG11" s="65"/>
      <c r="DH11" s="65"/>
      <c r="DI11" s="65"/>
      <c r="DJ11" s="65"/>
      <c r="DK11" s="66"/>
      <c r="DL11" s="1"/>
      <c r="DM11" s="1"/>
      <c r="DN11" s="1"/>
      <c r="DO11" s="1"/>
      <c r="DP11" s="245" t="s">
        <v>378</v>
      </c>
      <c r="DQ11" s="245" t="s">
        <v>379</v>
      </c>
      <c r="DR11" s="245" t="s">
        <v>378</v>
      </c>
      <c r="DS11" s="245" t="s">
        <v>379</v>
      </c>
      <c r="DT11" s="245" t="s">
        <v>378</v>
      </c>
      <c r="DU11" s="1"/>
      <c r="DV11" s="1"/>
      <c r="DW11" s="1"/>
      <c r="DX11" s="1"/>
      <c r="DY11"/>
      <c r="DZ11"/>
      <c r="EA11"/>
      <c r="EB11" s="1"/>
      <c r="ED11" s="1265" t="s">
        <v>380</v>
      </c>
      <c r="EE11" s="1266">
        <f>+IFERROR(+INDEX(Simulazione!M15:AE37,8,MATCH(Simulazione!DA36,Simulazione!M16:AE16,0))/+INDEX(Simulazione!M15:AE37,3,MATCH(Simulazione!DA36,Simulazione!M16:AE16,0)),0)</f>
        <v>0</v>
      </c>
      <c r="EU11" s="139">
        <v>0</v>
      </c>
      <c r="EV11" s="133" t="s">
        <v>142</v>
      </c>
      <c r="EW11" s="1644"/>
      <c r="EX11" s="137" t="str">
        <f>+IF('Dati riepilogativi'!$B$4='Dati riepilogativi'!$B$5,"X","")</f>
        <v>X</v>
      </c>
      <c r="EY11" s="138">
        <f>+IF(EX11="x",6,"")</f>
        <v>6</v>
      </c>
      <c r="EZ11" s="1646"/>
    </row>
    <row r="12" spans="2:163" ht="24" customHeight="1" x14ac:dyDescent="0.35">
      <c r="N12" s="1633"/>
      <c r="O12" s="1633"/>
      <c r="P12" s="1633"/>
      <c r="Q12" s="1633"/>
      <c r="R12" s="1633"/>
      <c r="S12" s="1633"/>
      <c r="T12" s="1633"/>
      <c r="U12" s="1633"/>
      <c r="V12" s="1633"/>
      <c r="AL12" s="1"/>
      <c r="AM12" s="8" t="s">
        <v>181</v>
      </c>
      <c r="AN12" s="9" t="s">
        <v>182</v>
      </c>
      <c r="AO12" s="10" t="s">
        <v>183</v>
      </c>
      <c r="AP12" s="10" t="s">
        <v>183</v>
      </c>
      <c r="AQ12" s="10" t="s">
        <v>184</v>
      </c>
      <c r="AR12" s="10" t="s">
        <v>184</v>
      </c>
      <c r="AS12" s="10" t="s">
        <v>184</v>
      </c>
      <c r="AT12" s="1"/>
      <c r="AU12" s="1"/>
      <c r="AV12" s="1659"/>
      <c r="AW12" s="1663" t="s">
        <v>185</v>
      </c>
      <c r="AX12" s="1663"/>
      <c r="AY12" s="1663"/>
      <c r="AZ12" s="98" t="s">
        <v>186</v>
      </c>
      <c r="BA12" s="1"/>
      <c r="BB12" s="1" t="s">
        <v>185</v>
      </c>
      <c r="BC12" s="1"/>
      <c r="BD12" s="1" t="s">
        <v>185</v>
      </c>
      <c r="BE12" s="1" t="s">
        <v>186</v>
      </c>
      <c r="BF12" s="1"/>
      <c r="BG12" s="1"/>
      <c r="BH12" s="1664" t="s">
        <v>187</v>
      </c>
      <c r="BI12" s="1664"/>
      <c r="BJ12" s="1664"/>
      <c r="BK12" s="1"/>
      <c r="BL12" s="1"/>
      <c r="BM12" s="1"/>
      <c r="BN12" s="104" t="s">
        <v>183</v>
      </c>
      <c r="BO12" s="104"/>
      <c r="BP12" s="104" t="s">
        <v>184</v>
      </c>
      <c r="BQ12" s="104"/>
      <c r="BR12" s="104" t="s">
        <v>184</v>
      </c>
      <c r="BS12" s="104"/>
      <c r="BT12" s="104" t="s">
        <v>184</v>
      </c>
      <c r="BU12" s="104"/>
      <c r="BV12" s="1"/>
      <c r="BW12" s="1"/>
      <c r="BX12" s="1"/>
      <c r="BY12" s="1"/>
      <c r="BZ12" s="1"/>
      <c r="CA12" s="64"/>
      <c r="CB12" s="65" t="s">
        <v>188</v>
      </c>
      <c r="CC12" s="65"/>
      <c r="CD12" s="65"/>
      <c r="CE12" s="65"/>
      <c r="CF12" s="65" t="s">
        <v>189</v>
      </c>
      <c r="CG12" s="65">
        <f>1</f>
        <v>1</v>
      </c>
      <c r="CH12" s="65" t="s">
        <v>190</v>
      </c>
      <c r="CI12" s="65"/>
      <c r="CJ12" s="65"/>
      <c r="CK12" s="65"/>
      <c r="CL12" s="65"/>
      <c r="CM12" s="66"/>
      <c r="CN12" s="1"/>
      <c r="CO12" s="81"/>
      <c r="CP12" s="1"/>
      <c r="CQ12" s="1"/>
      <c r="CR12" s="1"/>
      <c r="CS12" s="85">
        <v>0.2</v>
      </c>
      <c r="CT12" s="85">
        <v>0.4</v>
      </c>
      <c r="CU12" s="85">
        <v>0.6</v>
      </c>
      <c r="CV12" s="85">
        <v>0.8</v>
      </c>
      <c r="CW12" s="85">
        <v>1</v>
      </c>
      <c r="CX12" s="85">
        <v>1</v>
      </c>
      <c r="CY12" s="85">
        <v>1</v>
      </c>
      <c r="CZ12" s="1"/>
      <c r="DA12" s="1"/>
      <c r="DB12" s="1"/>
      <c r="DC12" s="1"/>
      <c r="DD12" s="1"/>
      <c r="DE12" s="1"/>
      <c r="DF12" s="1"/>
      <c r="DG12" s="1"/>
      <c r="DH12" s="1"/>
      <c r="DI12" s="1"/>
      <c r="DJ12" s="1"/>
      <c r="DK12" s="68"/>
      <c r="DL12" s="1"/>
      <c r="DM12" s="1"/>
      <c r="DN12" s="1678" t="s">
        <v>381</v>
      </c>
      <c r="DO12" s="255" t="s">
        <v>382</v>
      </c>
      <c r="DP12" s="256">
        <f>+CM15</f>
        <v>10</v>
      </c>
      <c r="DQ12" s="255"/>
      <c r="DR12" s="256">
        <f>+CM15</f>
        <v>10</v>
      </c>
      <c r="DS12" s="1680">
        <f>+DK15</f>
        <v>10</v>
      </c>
      <c r="DT12" s="1681"/>
      <c r="DU12" s="1"/>
      <c r="DV12" s="1"/>
      <c r="DW12" s="1"/>
      <c r="DX12" s="1"/>
      <c r="DY12"/>
      <c r="DZ12"/>
      <c r="EA12"/>
      <c r="EB12" s="1"/>
      <c r="ED12" s="1269" t="s">
        <v>383</v>
      </c>
      <c r="EE12" s="1266">
        <f>+IFERROR(+INDEX(Simulazione!M15:AE37,9,MATCH(Simulazione!DA36,Simulazione!M16:AE16,0))/+INDEX(Simulazione!M15:AE37,3,MATCH(Simulazione!DA36,Simulazione!M16:AE16,0)),0)</f>
        <v>0</v>
      </c>
      <c r="EU12" s="139">
        <v>0</v>
      </c>
      <c r="EV12" s="133" t="s">
        <v>141</v>
      </c>
      <c r="EW12" s="1644"/>
      <c r="EX12" s="137" t="str">
        <f>+IF(AND(DATEDIF('Dati riepilogativi'!B5,'Dati riepilogativi'!B4,"M")&lt;=24,Simulazione!EY11&lt;&gt;6),"X","")</f>
        <v/>
      </c>
      <c r="EY12" s="138" t="str">
        <f>+IF(EX12="x",6,"")</f>
        <v/>
      </c>
      <c r="EZ12" s="1646"/>
    </row>
    <row r="13" spans="2:163" ht="27.75" customHeight="1" x14ac:dyDescent="0.35">
      <c r="C13" s="173" t="str">
        <f t="shared" ref="C13:K13" si="0">IF(C15&lt;&gt;"",CONCATENATE("ANNO t",C15),"")</f>
        <v>ANNO t121</v>
      </c>
      <c r="D13" s="173" t="str">
        <f t="shared" si="0"/>
        <v/>
      </c>
      <c r="E13" s="173" t="str">
        <f t="shared" si="0"/>
        <v/>
      </c>
      <c r="F13" s="173" t="str">
        <f t="shared" si="0"/>
        <v/>
      </c>
      <c r="G13" s="173" t="str">
        <f t="shared" si="0"/>
        <v/>
      </c>
      <c r="H13" s="173" t="str">
        <f t="shared" si="0"/>
        <v/>
      </c>
      <c r="I13" s="173" t="str">
        <f t="shared" si="0"/>
        <v/>
      </c>
      <c r="J13" s="173" t="str">
        <f t="shared" si="0"/>
        <v/>
      </c>
      <c r="K13" s="173" t="str">
        <f t="shared" si="0"/>
        <v/>
      </c>
      <c r="N13" s="169"/>
      <c r="O13" s="169">
        <f>+N14</f>
        <v>121</v>
      </c>
      <c r="P13" s="169"/>
      <c r="Q13" s="169" t="str">
        <f>+P14</f>
        <v/>
      </c>
      <c r="R13" s="169"/>
      <c r="S13" s="169" t="str">
        <f>+R14</f>
        <v/>
      </c>
      <c r="T13" s="169"/>
      <c r="U13" s="169" t="str">
        <f>+T14</f>
        <v/>
      </c>
      <c r="V13" s="169"/>
      <c r="W13" s="169" t="str">
        <f>+V14</f>
        <v/>
      </c>
      <c r="X13" s="169"/>
      <c r="Y13" s="169" t="str">
        <f>+X14</f>
        <v/>
      </c>
      <c r="Z13" s="169"/>
      <c r="AA13" s="169" t="str">
        <f>+Z14</f>
        <v/>
      </c>
      <c r="AB13" s="169"/>
      <c r="AC13" s="169" t="str">
        <f>+AB14</f>
        <v/>
      </c>
      <c r="AD13" s="169"/>
      <c r="AE13" s="169" t="str">
        <f>+AD14</f>
        <v/>
      </c>
      <c r="AL13" s="1"/>
      <c r="AM13" s="11" t="s">
        <v>191</v>
      </c>
      <c r="AN13" s="12" t="s">
        <v>192</v>
      </c>
      <c r="AO13" s="12">
        <v>1</v>
      </c>
      <c r="AP13" s="13">
        <v>2.8</v>
      </c>
      <c r="AQ13" s="13">
        <v>9.4</v>
      </c>
      <c r="AR13" s="13">
        <v>92.1</v>
      </c>
      <c r="AS13" s="13">
        <v>0.3</v>
      </c>
      <c r="AT13" s="1"/>
      <c r="AU13" s="1"/>
      <c r="AV13" s="5" t="s">
        <v>170</v>
      </c>
      <c r="AW13" s="57" t="str">
        <f>IFERROR(+INDEX(Simulazione!$M$16:$AE$37,18,(MATCH("ANNO -3",Simulazione!$M$16:$AE$16,0)))/INDEX(Simulazione!$M$16:$AE$37,3,(MATCH("ANNO -3",Simulazione!$M$16:$AE$16,0))),"N.D.")</f>
        <v>N.D.</v>
      </c>
      <c r="AX13" s="57" t="str">
        <f>IFERROR(+INDEX(Simulazione!$M$16:$AE$37,18,(MATCH("ANNO -2",Simulazione!$M$16:$AE$16,0)))/INDEX(Simulazione!$M$16:$AE$37,3,(MATCH("ANNO -2",Simulazione!$M$16:$AE$16,0))),"N.D.")</f>
        <v>N.D.</v>
      </c>
      <c r="AY13" s="57" t="str">
        <f>IFERROR(+INDEX(Simulazione!$M$16:$AE$37,18,(MATCH("ANNO -1",Simulazione!$M$16:$AE$16,0)))/INDEX(Simulazione!$M$16:$AE$37,3,(MATCH("ANNO -1",Simulazione!$M$16:$AE$16,0))),"N.D.")</f>
        <v>N.D.</v>
      </c>
      <c r="AZ13" s="57" t="str">
        <f>IFERROR(+INDEX(Simulazione!$M$16:$AE$37,18,(MATCH(_xlfn.CONCAT("ANNO"," ",Simulazione!C10),Simulazione!$M$16:$AE$16,0)))/INDEX(Simulazione!$M$16:$AE$37,3,(MATCH(_xlfn.CONCAT("ANNO"," ",Simulazione!C10),Simulazione!$M$16:$AE$16,0))),"N.D.")</f>
        <v>N.D.</v>
      </c>
      <c r="BA13" s="14"/>
      <c r="BB13" s="105" t="b">
        <f>+IF(COUNT(AW13:AY13)=3,((AW13*$BH$13)+(AX13*$BI$13)+(AY13*$BJ$13)),
IF(COUNT(AW13:AY13)=2,((AX13*$BH$14)+(AY13*$BI$14)),
IF(COUNT(AW13:AY13)=1,AY13)))</f>
        <v>0</v>
      </c>
      <c r="BC13" s="1"/>
      <c r="BD13" s="109" t="str">
        <f>+IFERROR(IF(BB13&lt;BN13,10,IF(BB13&lt;=BN18,VLOOKUP(BB13,$BN$13:$BO$18,2),IF(AND(BB13&gt;BN18,BB13&lt;BN19),4,VLOOKUP(BB13,$BN$19:$BO$21,2,TRUE)))),"N.D.")</f>
        <v>N.D.</v>
      </c>
      <c r="BE13" s="109" t="str">
        <f>+IFERROR(IF(AZ13&lt;BN13,10,IF(AZ13&lt;=BN18,VLOOKUP(AZ13,$BN$13:$BO$18,2),IF(AND(AZ13&gt;BN18,AZ13&lt;BN19),4,VLOOKUP(AZ13,$BN$19:$BO$21,2,TRUE)))),"N.D.")</f>
        <v>N.D.</v>
      </c>
      <c r="BF13" s="1"/>
      <c r="BG13" s="1"/>
      <c r="BH13" s="17">
        <v>0.2</v>
      </c>
      <c r="BI13" s="18">
        <v>0.3</v>
      </c>
      <c r="BJ13" s="18">
        <v>0.5</v>
      </c>
      <c r="BK13" s="1"/>
      <c r="BL13" s="1"/>
      <c r="BM13" s="61"/>
      <c r="BN13" s="146">
        <f>+$BN$18*(1-($BL$11*(10-ROW(BN13))))</f>
        <v>3.1050000000000001E-2</v>
      </c>
      <c r="BO13" s="14">
        <v>10</v>
      </c>
      <c r="BP13" s="147">
        <f>+$BP$17*(1-$BL$11*(9-ROW(BP13)))</f>
        <v>2.76E-2</v>
      </c>
      <c r="BQ13" s="14">
        <v>1</v>
      </c>
      <c r="BR13" s="147">
        <f>+BR$17*(1-$BL$11*(9-ROW(BR13)))</f>
        <v>0.8375999999999999</v>
      </c>
      <c r="BS13" s="14">
        <v>1</v>
      </c>
      <c r="BT13" s="147">
        <f>+BT$17*(1-$BL$11*(9-ROW(BT13)))</f>
        <v>6.0000000000000001E-3</v>
      </c>
      <c r="BU13" s="77">
        <v>1</v>
      </c>
      <c r="BV13" s="1"/>
      <c r="BW13" s="1"/>
      <c r="BX13" s="1"/>
      <c r="BY13" s="1"/>
      <c r="BZ13" s="1"/>
      <c r="CA13" s="67" t="s">
        <v>193</v>
      </c>
      <c r="CB13" s="1">
        <v>0.2</v>
      </c>
      <c r="CC13" s="1">
        <f>+CB13+0.2</f>
        <v>0.4</v>
      </c>
      <c r="CD13" s="1">
        <f>+CC13+0.2</f>
        <v>0.60000000000000009</v>
      </c>
      <c r="CE13" s="1">
        <f>+CD13+0.2</f>
        <v>0.8</v>
      </c>
      <c r="CF13" s="1">
        <f>+CE13+0.2</f>
        <v>1</v>
      </c>
      <c r="CG13" s="1">
        <v>1</v>
      </c>
      <c r="CH13" s="1">
        <f>+CF13+0.1</f>
        <v>1.1000000000000001</v>
      </c>
      <c r="CI13" s="1">
        <f>+CH13+0.1</f>
        <v>1.2000000000000002</v>
      </c>
      <c r="CJ13" s="1">
        <f>+CI13+0.1</f>
        <v>1.3000000000000003</v>
      </c>
      <c r="CK13" s="1">
        <f>+CJ13+0.1</f>
        <v>1.4000000000000004</v>
      </c>
      <c r="CL13" s="1"/>
      <c r="CM13" s="68"/>
      <c r="CN13" s="1"/>
      <c r="CO13" s="81"/>
      <c r="CP13" s="1"/>
      <c r="CQ13" s="1"/>
      <c r="CR13" s="1"/>
      <c r="CS13" s="86">
        <f>IF($AZ$18&lt;CS12,1,0)</f>
        <v>0</v>
      </c>
      <c r="CT13" s="86">
        <f>IF(AND($AZ$18&lt;CT12,$AZ$18&gt;=CS12),1,0)</f>
        <v>0</v>
      </c>
      <c r="CU13" s="86">
        <f>IF(AND($AZ$18&lt;CU12,$AZ$18&gt;=CT12),1,0)</f>
        <v>0</v>
      </c>
      <c r="CV13" s="86">
        <f>IF(AND($AZ$18&lt;CV12,$AZ$18&gt;=CU12),1,0)</f>
        <v>0</v>
      </c>
      <c r="CW13" s="86">
        <f>IF(AND($AZ$18&lt;CW12,$AZ$18&gt;=CV12),1,0)</f>
        <v>0</v>
      </c>
      <c r="CX13" s="86">
        <f>IF($AZ$18=CX12,1,0)</f>
        <v>0</v>
      </c>
      <c r="CY13" s="86">
        <f>IF($AZ$18&gt;CY12,1,0)</f>
        <v>1</v>
      </c>
      <c r="CZ13" s="1"/>
      <c r="DA13" s="1"/>
      <c r="DB13" s="1"/>
      <c r="DC13" s="1"/>
      <c r="DD13" s="1"/>
      <c r="DE13" s="1"/>
      <c r="DF13" s="87" t="s">
        <v>194</v>
      </c>
      <c r="DG13" s="1"/>
      <c r="DH13" s="1"/>
      <c r="DI13" s="1"/>
      <c r="DJ13" s="1"/>
      <c r="DK13" s="68"/>
      <c r="DL13" s="1"/>
      <c r="DM13" s="1"/>
      <c r="DN13" s="1678"/>
      <c r="DO13" s="255" t="s">
        <v>384</v>
      </c>
      <c r="DP13" s="255"/>
      <c r="DQ13" s="256" t="str">
        <f>+CD23</f>
        <v>N.D.</v>
      </c>
      <c r="DR13" s="255"/>
      <c r="DS13" s="255"/>
      <c r="DT13" s="255"/>
      <c r="DU13" s="1"/>
      <c r="DV13" s="1"/>
      <c r="DW13" s="1"/>
      <c r="DX13" s="1"/>
      <c r="DY13"/>
      <c r="DZ13"/>
      <c r="EA13"/>
      <c r="EB13" s="1"/>
      <c r="ED13" s="1269" t="s">
        <v>385</v>
      </c>
      <c r="EE13" s="1266">
        <f>+IFERROR(INDEX(Simulazione!M15:AE37,10,MATCH(Simulazione!DA36,Simulazione!M16:AE16,0))/+INDEX(Simulazione!M15:AE37,3,MATCH(Simulazione!DA36,Simulazione!M16:AE16,0)),0)</f>
        <v>0</v>
      </c>
      <c r="EU13" s="136" t="s">
        <v>143</v>
      </c>
      <c r="EV13" s="133" t="s">
        <v>144</v>
      </c>
      <c r="EW13" s="1644"/>
      <c r="EX13" s="137" t="str">
        <f>IFERROR(+IF(AND($CD$23=5,COUNT(EY12)=0),"x",""),"")</f>
        <v/>
      </c>
      <c r="EY13" s="138" t="str">
        <f>+IF(EX13="x",5,"")</f>
        <v/>
      </c>
      <c r="EZ13" s="1646"/>
    </row>
    <row r="14" spans="2:163" ht="15" customHeight="1" thickBot="1" x14ac:dyDescent="0.4">
      <c r="C14" s="169">
        <f>IF((YEAR(C8)-IF(YEAR(C9)=1900,2021,YEAR(C9)))&gt;3,3,(YEAR(C8)-IF(YEAR(C9)=1900,2021,YEAR(C9))))</f>
        <v>-121</v>
      </c>
      <c r="D14" s="169"/>
      <c r="E14" s="169"/>
      <c r="F14" s="169"/>
      <c r="G14" s="169"/>
      <c r="H14" s="169"/>
      <c r="I14" s="169"/>
      <c r="J14" s="169"/>
      <c r="K14" s="169"/>
      <c r="N14" s="169">
        <f>+C15</f>
        <v>121</v>
      </c>
      <c r="O14" s="169"/>
      <c r="P14" s="169" t="str">
        <f>+D15</f>
        <v/>
      </c>
      <c r="Q14" s="169"/>
      <c r="R14" s="169" t="str">
        <f>+E15</f>
        <v/>
      </c>
      <c r="S14" s="169"/>
      <c r="T14" s="169" t="str">
        <f>+F15</f>
        <v/>
      </c>
      <c r="U14" s="169"/>
      <c r="V14" s="169" t="str">
        <f>+G15</f>
        <v/>
      </c>
      <c r="W14" s="169"/>
      <c r="X14" s="169" t="str">
        <f>+H15</f>
        <v/>
      </c>
      <c r="Y14" s="169"/>
      <c r="Z14" s="169" t="str">
        <f>+I15</f>
        <v/>
      </c>
      <c r="AA14" s="169"/>
      <c r="AB14" s="169" t="str">
        <f>+J15</f>
        <v/>
      </c>
      <c r="AC14" s="169"/>
      <c r="AD14" s="169" t="str">
        <f>+K15</f>
        <v/>
      </c>
      <c r="AE14" s="169"/>
      <c r="AL14" s="1"/>
      <c r="AM14" s="19" t="s">
        <v>195</v>
      </c>
      <c r="AN14" s="20" t="s">
        <v>196</v>
      </c>
      <c r="AO14" s="20">
        <v>1</v>
      </c>
      <c r="AP14" s="21">
        <v>3</v>
      </c>
      <c r="AQ14" s="21">
        <v>7.6</v>
      </c>
      <c r="AR14" s="21">
        <v>93.7</v>
      </c>
      <c r="AS14" s="21">
        <v>0.5</v>
      </c>
      <c r="AT14" s="1"/>
      <c r="AU14" s="59"/>
      <c r="AV14" s="5" t="s">
        <v>171</v>
      </c>
      <c r="AW14" s="57" t="str">
        <f>IFERROR(IF(AND(+INDEX(Simulazione!$B$13:$K$67,37,MATCH("ANNO t-3",Simulazione!$B$13:$K$13,0))&gt;0,INDEX(Simulazione!$B$13:$K$67,42,MATCH("ANNO t-3",Simulazione!$B$13:$K$13,0))&lt;=0),500,IFERROR(+INDEX(Simulazione!$B$13:$K$67,37,MATCH("ANNO t-3",Simulazione!$B$13:$K$13,0))/INDEX(Simulazione!$B$13:$K$67,42,MATCH("ANNO t-3",Simulazione!$B$13:$K$13,0)),"N.D.")),"N.D.")</f>
        <v>N.D.</v>
      </c>
      <c r="AX14" s="56" t="str">
        <f>IFERROR(IF(AND(+INDEX(Simulazione!$B$13:$K$67,37,MATCH("ANNO t-2",Simulazione!$B$13:$K$13,0))&gt;0,INDEX(Simulazione!$B$13:$K$67,42,MATCH("ANNO t-2",Simulazione!$B$13:$K$13,0))&lt;=0),500,IFERROR(+INDEX(Simulazione!$B$13:$K$67,37,MATCH("ANNO t-2",Simulazione!$B$13:$K$13,0))/INDEX(Simulazione!$B$13:$K$67,42,MATCH("ANNO t-2",Simulazione!$B$13:$K$13,0)),"N.D.")),"N.D.")</f>
        <v>N.D.</v>
      </c>
      <c r="AY14" s="57" t="str">
        <f>IFERROR(IF(AND(+INDEX(Simulazione!$B$13:$K$67,37,MATCH("ANNO t-1",Simulazione!$B$13:$K$13,0))&gt;0,INDEX(Simulazione!$B$13:$K$67,42,MATCH("ANNO t-1",Simulazione!$B$13:$K$13,0))&lt;=0),500, IFERROR(+INDEX(Simulazione!$B$13:$K$67,37,MATCH("ANNO t-1",Simulazione!$B$13:$K$13,0))/INDEX(Simulazione!$B$13:$K$67,42,MATCH("ANNO t-1",Simulazione!$B$13:$K$13,0)),"N.D.")),"N.D.")</f>
        <v>N.D.</v>
      </c>
      <c r="AZ14" s="57" t="e">
        <f>IF(AND(INDEX(Simulazione!$B$13:$K$67,37,MATCH($AZ$11,Simulazione!$B$13:$K$13,0))&gt;0,INDEX(Simulazione!$B$13:$K$67,42,MATCH($AZ$11,Simulazione!$B$13:$K$13,0))&lt;=0),500,IFERROR(+INDEX(Simulazione!$B$13:$K$67,37,MATCH($AZ$11,Simulazione!$B$13:$K$13,0))/INDEX(Simulazione!$B$13:$K$67,42,MATCH($AZ$11,Simulazione!$B$13:$K$13,0)),"N.D."))</f>
        <v>#N/A</v>
      </c>
      <c r="BA14" s="14"/>
      <c r="BB14" s="105" t="b">
        <f>+IF(COUNT(AW14:AY14)=3,((AW14*$BH$13)+(AX14*$BI$13)+(AY14*$BJ$13)),
IF(COUNT(AW14:AY14)=2,((AX14*$BH$14)+(AY14*$BI$14)),
IF(COUNT(AW14:AY14)=1,AY14)))</f>
        <v>0</v>
      </c>
      <c r="BC14" s="1"/>
      <c r="BD14" s="109" t="str">
        <f>+IFERROR(IF(BB14&lt;BP13,1,IF(BB14&lt;=BP17,VLOOKUP(BB14,$BP$13:$BQ$17,2),IF(AND(BB14&gt;BP17,BB14&lt;BP18),6,VLOOKUP(BB14,$BP$18:$BQ$21,2,TRUE)))),"N.D.")</f>
        <v>N.D.</v>
      </c>
      <c r="BE14" s="109" t="str">
        <f>+IFERROR(IF(AZ14&lt;BP13,1,IF(AZ14&lt;=BP17,VLOOKUP(AZ14,$BP$13:$BQ$17,2),IF(AND(AZ14&gt;BP17,AZ14&lt;BP18),6,VLOOKUP(AZ14,$BP$18:$BQ$21,2,TRUE)))),"N.D.")</f>
        <v>N.D.</v>
      </c>
      <c r="BF14" s="1"/>
      <c r="BG14" s="1"/>
      <c r="BH14" s="18">
        <v>0.5</v>
      </c>
      <c r="BI14" s="18">
        <v>0.5</v>
      </c>
      <c r="BJ14" s="14"/>
      <c r="BK14" s="1"/>
      <c r="BL14" s="1"/>
      <c r="BM14" s="61"/>
      <c r="BN14" s="146">
        <f>+$BN$18*(1-($BL$11*(10-ROW(BN14))))</f>
        <v>3.2400000000000005E-2</v>
      </c>
      <c r="BO14" s="14">
        <v>9</v>
      </c>
      <c r="BP14" s="147">
        <f>+$BP$17*(1-$BL$11*(9-ROW(BP14)))</f>
        <v>2.8749999999999998E-2</v>
      </c>
      <c r="BQ14" s="14">
        <v>2</v>
      </c>
      <c r="BR14" s="147">
        <f>+BR$17*(1-$BL$11*(9-ROW(BR14)))</f>
        <v>0.87249999999999994</v>
      </c>
      <c r="BS14" s="14">
        <v>2</v>
      </c>
      <c r="BT14" s="147">
        <f>+BT$17*(1-$BL$11*(9-ROW(BT14)))</f>
        <v>6.2500000000000003E-3</v>
      </c>
      <c r="BU14" s="77">
        <v>2</v>
      </c>
      <c r="BV14" s="1"/>
      <c r="BW14" s="1"/>
      <c r="BX14" s="1"/>
      <c r="BY14" s="1"/>
      <c r="BZ14" s="1"/>
      <c r="CA14" s="67" t="s">
        <v>178</v>
      </c>
      <c r="CB14" s="1">
        <v>1</v>
      </c>
      <c r="CC14" s="1">
        <v>2</v>
      </c>
      <c r="CD14" s="1">
        <v>3</v>
      </c>
      <c r="CE14" s="1">
        <v>4</v>
      </c>
      <c r="CF14" s="1">
        <v>5</v>
      </c>
      <c r="CG14" s="1">
        <v>6</v>
      </c>
      <c r="CH14" s="1">
        <v>7</v>
      </c>
      <c r="CI14" s="1">
        <v>8</v>
      </c>
      <c r="CJ14" s="1">
        <v>9</v>
      </c>
      <c r="CK14" s="1">
        <v>10</v>
      </c>
      <c r="CL14" s="1"/>
      <c r="CM14" s="69" t="s">
        <v>197</v>
      </c>
      <c r="CN14" s="1"/>
      <c r="CO14" s="81"/>
      <c r="CP14" s="85">
        <v>1</v>
      </c>
      <c r="CQ14" s="85"/>
      <c r="CR14" s="88">
        <f>IF(AZ17&lt;1,1,0)</f>
        <v>0</v>
      </c>
      <c r="CS14" s="64">
        <f t="shared" ref="CS14:CY18" si="1">$CR14*CS$13</f>
        <v>0</v>
      </c>
      <c r="CT14" s="65">
        <f t="shared" si="1"/>
        <v>0</v>
      </c>
      <c r="CU14" s="65">
        <f t="shared" si="1"/>
        <v>0</v>
      </c>
      <c r="CV14" s="65">
        <f t="shared" si="1"/>
        <v>0</v>
      </c>
      <c r="CW14" s="65">
        <f t="shared" si="1"/>
        <v>0</v>
      </c>
      <c r="CX14" s="65">
        <f t="shared" si="1"/>
        <v>0</v>
      </c>
      <c r="CY14" s="66">
        <f t="shared" si="1"/>
        <v>0</v>
      </c>
      <c r="CZ14" s="1"/>
      <c r="DA14" s="1"/>
      <c r="DB14" s="1"/>
      <c r="DC14" s="73">
        <v>1</v>
      </c>
      <c r="DD14" s="74">
        <v>2</v>
      </c>
      <c r="DE14" s="74">
        <v>3</v>
      </c>
      <c r="DF14" s="74">
        <v>4</v>
      </c>
      <c r="DG14" s="74">
        <v>4</v>
      </c>
      <c r="DH14" s="74">
        <v>4</v>
      </c>
      <c r="DI14" s="75">
        <v>4</v>
      </c>
      <c r="DJ14" s="1"/>
      <c r="DK14" s="69" t="s">
        <v>197</v>
      </c>
      <c r="DL14" s="1"/>
      <c r="DM14" s="1"/>
      <c r="DN14" s="1678"/>
      <c r="DO14" s="255" t="s">
        <v>386</v>
      </c>
      <c r="DP14" s="255"/>
      <c r="DQ14" s="255"/>
      <c r="DR14" s="255"/>
      <c r="DS14" s="256">
        <f>+CW42</f>
        <v>0</v>
      </c>
      <c r="DT14" s="255"/>
      <c r="DU14" s="1"/>
      <c r="DV14" s="1"/>
      <c r="DW14" s="1"/>
      <c r="DX14" s="1"/>
      <c r="DY14"/>
      <c r="DZ14"/>
      <c r="EA14"/>
      <c r="EB14" s="1"/>
      <c r="ED14" s="1262" t="s">
        <v>387</v>
      </c>
      <c r="EE14" s="1266">
        <f>+IFERROR(+INDEX(Simulazione!M15:AE37,11,MATCH(Simulazione!DA36,Simulazione!M16:AE16,0))/+INDEX(Simulazione!M15:AE37,3,MATCH(Simulazione!DA36,Simulazione!M16:AE16,0)),0)</f>
        <v>0</v>
      </c>
      <c r="EU14" s="140" t="s">
        <v>145</v>
      </c>
      <c r="EV14" s="133" t="s">
        <v>146</v>
      </c>
      <c r="EW14" s="1645"/>
      <c r="EX14" s="137" t="str">
        <f>+IFERROR(+IF(AND($CD$23=4,COUNT(EY12)=0),"x",""),"")</f>
        <v/>
      </c>
      <c r="EY14" s="138" t="str">
        <f>+IF(EX14="x",4,"")</f>
        <v/>
      </c>
      <c r="EZ14" s="1647"/>
    </row>
    <row r="15" spans="2:163" ht="31.5" customHeight="1" thickBot="1" x14ac:dyDescent="0.4">
      <c r="C15" s="169">
        <f>-C14</f>
        <v>121</v>
      </c>
      <c r="D15" s="169" t="str">
        <f t="shared" ref="D15:K15" si="2">IFERROR(IF((C15+1)&gt;$C$10,"",C15+1),"")</f>
        <v/>
      </c>
      <c r="E15" s="174" t="str">
        <f t="shared" si="2"/>
        <v/>
      </c>
      <c r="F15" s="174" t="str">
        <f t="shared" si="2"/>
        <v/>
      </c>
      <c r="G15" s="169" t="str">
        <f t="shared" si="2"/>
        <v/>
      </c>
      <c r="H15" s="169" t="str">
        <f t="shared" si="2"/>
        <v/>
      </c>
      <c r="I15" s="169" t="str">
        <f t="shared" si="2"/>
        <v/>
      </c>
      <c r="J15" s="169" t="str">
        <f t="shared" si="2"/>
        <v/>
      </c>
      <c r="K15" s="169" t="str">
        <f t="shared" si="2"/>
        <v/>
      </c>
      <c r="N15" s="173" t="s">
        <v>36</v>
      </c>
      <c r="O15" s="173" t="str">
        <f>IF($C$2=0,"Δ PROGETTO","")</f>
        <v/>
      </c>
      <c r="P15" s="173" t="s">
        <v>36</v>
      </c>
      <c r="Q15" s="173" t="str">
        <f>IF($C$2=0,"Δ PROGETTO","")</f>
        <v/>
      </c>
      <c r="R15" s="173" t="s">
        <v>36</v>
      </c>
      <c r="S15" s="173" t="str">
        <f>IF($C$2=0,"Δ PROGETTO","")</f>
        <v/>
      </c>
      <c r="T15" s="173" t="s">
        <v>36</v>
      </c>
      <c r="U15" s="173" t="str">
        <f>IF($C$2="","Δ PROGETTO","")</f>
        <v>Δ PROGETTO</v>
      </c>
      <c r="V15" s="173" t="str">
        <f>+IF(V14="","","SOCIETA'")</f>
        <v/>
      </c>
      <c r="W15" s="173" t="str">
        <f>IF($C$2="","Δ PROGETTO","")</f>
        <v>Δ PROGETTO</v>
      </c>
      <c r="X15" s="173" t="str">
        <f>+IF(X14="","","SOCIETA'")</f>
        <v/>
      </c>
      <c r="Y15" s="173" t="str">
        <f>IF(X14="","",IF($C$2="","Δ PROGETTO",""))</f>
        <v/>
      </c>
      <c r="Z15" s="173" t="str">
        <f>+IF(Z14="","","SOCIETA'")</f>
        <v/>
      </c>
      <c r="AA15" s="173" t="str">
        <f>IF(Z14="","",IF($C$2="","Δ PROGETTO",""))</f>
        <v/>
      </c>
      <c r="AB15" s="173" t="str">
        <f>+IF(AB14="","","SOCIETA'")</f>
        <v/>
      </c>
      <c r="AC15" s="173" t="str">
        <f>IF(AB14="","",IF($C$2="","Δ PROGETTO",""))</f>
        <v/>
      </c>
      <c r="AD15" s="173" t="str">
        <f>+IF(AD14="","","SOCIETA'")</f>
        <v/>
      </c>
      <c r="AE15" s="173" t="str">
        <f>IF(AD14="","",IF($C$2="","Δ PROGETTO",""))</f>
        <v/>
      </c>
      <c r="AL15" s="1"/>
      <c r="AM15" s="11" t="s">
        <v>198</v>
      </c>
      <c r="AN15" s="12" t="s">
        <v>199</v>
      </c>
      <c r="AO15" s="12">
        <v>1</v>
      </c>
      <c r="AP15" s="13">
        <v>2.6</v>
      </c>
      <c r="AQ15" s="13">
        <v>6.7</v>
      </c>
      <c r="AR15" s="13">
        <v>84.2</v>
      </c>
      <c r="AS15" s="13">
        <v>1.9</v>
      </c>
      <c r="AT15" s="1"/>
      <c r="AU15" s="1"/>
      <c r="AV15" s="5" t="s">
        <v>172</v>
      </c>
      <c r="AW15" s="63" t="str">
        <f>IFERROR(+IF(AND((+INDEX(Simulazione!$B$13:$K$67,31,MATCH(AW$11,Simulazione!$B$13:$K$13,0))+INDEX(Simulazione!$B$13:$K$67,33,MATCH(AW$11,Simulazione!$B$13:$K$13,0))+INDEX(Simulazione!$B$13:$K$67,34,MATCH(AW$11,Simulazione!$B$13:$K$13,0))+INDEX(Simulazione!$B$13:$K$67,35,MATCH(AW$11,Simulazione!$B$13:$K$13,0))&gt;0),(INDEX(Simulazione!$B$13:$K$67,44,MATCH(AW$11,Simulazione!$B$13:$K$13,0))+INDEX(Simulazione!$B$13:$K$67,47,MATCH(AW$11,Simulazione!$B$13:$K$13,0))+INDEX(Simulazione!$B$13:$K$67,50,MATCH(AW$11,Simulazione!$B$13:$K$13,0))+INDEX(Simulazione!$B$13:$K$67,53,MATCH(AW$11,Simulazione!$B$13:$K$13,0))+INDEX(Simulazione!$B$13:$K$67,55,MATCH(AW$11,Simulazione!$B$13:$K$13,0)))&lt;=0),500, IFERROR((+INDEX(Simulazione!$B$13:$K$67,31,MATCH(AW$11,Simulazione!$B$13:$K$13,0))+INDEX(Simulazione!$B$13:$K$67,33,MATCH(AW$11,Simulazione!$B$13:$K$13,0))+INDEX(Simulazione!$B$13:$K$67,34,MATCH(AW$11,Simulazione!$B$13:$K$13,0))+INDEX(Simulazione!$B$13:$K$67,35,MATCH(AW$11,Simulazione!$B$13:$K$13,0)))/(INDEX(Simulazione!$B$13:$K$67,44,MATCH(AW$11,Simulazione!$B$13:$K$13,0))+INDEX(Simulazione!$B$13:$K$67,47,MATCH(AW$11,Simulazione!$B$13:$K$13,0))+INDEX(Simulazione!$B$13:$K$67,50,MATCH(AW$11,Simulazione!$B$13:$K$13,0))+INDEX(Simulazione!$B$13:$K$67,53,MATCH(AW$11,Simulazione!$B$13:$K$13,0))+INDEX(Simulazione!$B$13:$K$67,55,MATCH(AW$11,Simulazione!$B$13:$K$13,0))),"N.D.")),"N.D.")</f>
        <v>N.D.</v>
      </c>
      <c r="AX15" s="63" t="str">
        <f>IFERROR(+IF(AND((+INDEX(Simulazione!$B$13:$K$67,31,MATCH(AX$11,Simulazione!$B$13:$K$13,0))+INDEX(Simulazione!$B$13:$K$67,33,MATCH(AX$11,Simulazione!$B$13:$K$13,0))+INDEX(Simulazione!$B$13:$K$67,34,MATCH(AX$11,Simulazione!$B$13:$K$13,0))+INDEX(Simulazione!$B$13:$K$67,35,MATCH(AX$11,Simulazione!$B$13:$K$13,0))&gt;0),(INDEX(Simulazione!$B$13:$K$67,44,MATCH(AX$11,Simulazione!$B$13:$K$13,0))+INDEX(Simulazione!$B$13:$K$67,47,MATCH(AX$11,Simulazione!$B$13:$K$13,0))+INDEX(Simulazione!$B$13:$K$67,50,MATCH(AX$11,Simulazione!$B$13:$K$13,0))+INDEX(Simulazione!$B$13:$K$67,53,MATCH(AX$11,Simulazione!$B$13:$K$13,0))+INDEX(Simulazione!$B$13:$K$67,55,MATCH(AX$11,Simulazione!$B$13:$K$13,0)))&lt;=0),500, IFERROR((+INDEX(Simulazione!$B$13:$K$67,31,MATCH(AX$11,Simulazione!$B$13:$K$13,0))+INDEX(Simulazione!$B$13:$K$67,33,MATCH(AX$11,Simulazione!$B$13:$K$13,0))+INDEX(Simulazione!$B$13:$K$67,34,MATCH(AX$11,Simulazione!$B$13:$K$13,0))+INDEX(Simulazione!$B$13:$K$67,35,MATCH(AX$11,Simulazione!$B$13:$K$13,0)))/(INDEX(Simulazione!$B$13:$K$67,44,MATCH(AX$11,Simulazione!$B$13:$K$13,0))+INDEX(Simulazione!$B$13:$K$67,47,MATCH(AX$11,Simulazione!$B$13:$K$13,0))+INDEX(Simulazione!$B$13:$K$67,50,MATCH(AX$11,Simulazione!$B$13:$K$13,0))+INDEX(Simulazione!$B$13:$K$67,53,MATCH(AX$11,Simulazione!$B$13:$K$13,0))+INDEX(Simulazione!$B$13:$K$67,55,MATCH(AX$11,Simulazione!$B$13:$K$13,0))),"N.D.")),"N.D.")</f>
        <v>N.D.</v>
      </c>
      <c r="AY15" s="63" t="str">
        <f>IFERROR(+IF(AND((+INDEX(Simulazione!$B$13:$K$67,31,MATCH(AY$11,Simulazione!$B$13:$K$13,0))+INDEX(Simulazione!$B$13:$K$67,33,MATCH(AY$11,Simulazione!$B$13:$K$13,0))+INDEX(Simulazione!$B$13:$K$67,34,MATCH(AY$11,Simulazione!$B$13:$K$13,0))+INDEX(Simulazione!$B$13:$K$67,35,MATCH(AY$11,Simulazione!$B$13:$K$13,0))&gt;0),(INDEX(Simulazione!$B$13:$K$67,44,MATCH(AY$11,Simulazione!$B$13:$K$13,0))+INDEX(Simulazione!$B$13:$K$67,47,MATCH(AY$11,Simulazione!$B$13:$K$13,0))+INDEX(Simulazione!$B$13:$K$67,50,MATCH(AY$11,Simulazione!$B$13:$K$13,0))+INDEX(Simulazione!$B$13:$K$67,53,MATCH(AY$11,Simulazione!$B$13:$K$13,0))+INDEX(Simulazione!$B$13:$K$67,55,MATCH(AY$11,Simulazione!$B$13:$K$13,0)))&lt;=0),500, IFERROR((+INDEX(Simulazione!$B$13:$K$67,31,MATCH(AY$11,Simulazione!$B$13:$K$13,0))+INDEX(Simulazione!$B$13:$K$67,33,MATCH(AY$11,Simulazione!$B$13:$K$13,0))+INDEX(Simulazione!$B$13:$K$67,34,MATCH(AY$11,Simulazione!$B$13:$K$13,0))+INDEX(Simulazione!$B$13:$K$67,35,MATCH(AY$11,Simulazione!$B$13:$K$13,0)))/(INDEX(Simulazione!$B$13:$K$67,44,MATCH(AY$11,Simulazione!$B$13:$K$13,0))+INDEX(Simulazione!$B$13:$K$67,47,MATCH(AY$11,Simulazione!$B$13:$K$13,0))+INDEX(Simulazione!$B$13:$K$67,50,MATCH(AY$11,Simulazione!$B$13:$K$13,0))+INDEX(Simulazione!$B$13:$K$67,53,MATCH(AY$11,Simulazione!$B$13:$K$13,0))+INDEX(Simulazione!$B$13:$K$67,55,MATCH(AY$11,Simulazione!$B$13:$K$13,0))),"N.D.")),"N.D.")</f>
        <v>N.D.</v>
      </c>
      <c r="AZ15" s="63" t="e">
        <f>+IF(AND((+INDEX(Simulazione!$B$13:$K$67,31,MATCH(AZ$11,Simulazione!$B$13:$K$13,0))+INDEX(Simulazione!$B$13:$K$67,33,MATCH(AZ$11,Simulazione!$B$13:$K$13,0))+INDEX(Simulazione!$B$13:$K$67,34,MATCH(AZ$11,Simulazione!$B$13:$K$13,0))+INDEX(Simulazione!$B$13:$K$67,35,MATCH(AZ$11,Simulazione!$B$13:$K$13,0))&gt;0),(INDEX(Simulazione!$B$13:$K$67,44,MATCH(AZ$11,Simulazione!$B$13:$K$13,0))+INDEX(Simulazione!$B$13:$K$67,47,MATCH(AZ$11,Simulazione!$B$13:$K$13,0))+INDEX(Simulazione!$B$13:$K$67,50,MATCH(AZ$11,Simulazione!$B$13:$K$13,0))+INDEX(Simulazione!$B$13:$K$67,53,MATCH(AZ$11,Simulazione!$B$13:$K$13,0))+INDEX(Simulazione!$B$13:$K$67,55,MATCH(AZ$11,Simulazione!$B$13:$K$13,0)))&lt;=0),500, IFERROR((+INDEX(Simulazione!$B$13:$K$67,31,MATCH(AZ$11,Simulazione!$B$13:$K$13,0))+INDEX(Simulazione!$B$13:$K$67,33,MATCH(AZ$11,Simulazione!$B$13:$K$13,0))+INDEX(Simulazione!$B$13:$K$67,34,MATCH(AZ$11,Simulazione!$B$13:$K$13,0))+INDEX(Simulazione!$B$13:$K$67,35,MATCH(AZ$11,Simulazione!$B$13:$K$13,0)))/(INDEX(Simulazione!$B$13:$K$67,44,MATCH(AZ$11,Simulazione!$B$13:$K$13,0))+INDEX(Simulazione!$B$13:$K$67,47,MATCH(AZ$11,Simulazione!$B$13:$K$13,0))+INDEX(Simulazione!$B$13:$K$67,50,MATCH(AZ$11,Simulazione!$B$13:$K$13,0))+INDEX(Simulazione!$B$13:$K$67,53,MATCH(AZ$11,Simulazione!$B$13:$K$13,0))+INDEX(Simulazione!$B$13:$K$67,55,MATCH(AZ$11,Simulazione!$B$13:$K$13,0))),"N.D."))</f>
        <v>#N/A</v>
      </c>
      <c r="BA15" s="14"/>
      <c r="BB15" s="105" t="b">
        <f>+IF(COUNT(AW15:AY15)=3,((AW15*$BH$13)+(AX15*$BI$13)+(AY15*$BJ$13)),
IF(COUNT(AW15:AY15)=2,((AX15*$BH$14)+(AY15*$BI$14)),
IF(COUNT(AW15:AY15)=1,AY15)))</f>
        <v>0</v>
      </c>
      <c r="BC15" s="1"/>
      <c r="BD15" s="109" t="str">
        <f>+IFERROR(IF(BB15&lt;BR13,1,IF(BB15&lt;=BR17,VLOOKUP(BB15,$BR$13:$BS$17,2),IF(AND(BB15&gt;BR17,BB15&lt;BR18),6,VLOOKUP(BB15,$BR$18:$BS$21,2,TRUE)))),"N.D.")</f>
        <v>N.D.</v>
      </c>
      <c r="BE15" s="109" t="str">
        <f>+IFERROR(IF(AZ15&lt;BR13,1,IF(AZ15&lt;=BR17,VLOOKUP(AZ15,$BR$13:$BS$17,2),IF(AND(AZ15&gt;BR17,AZ15&lt;BR18),6,VLOOKUP(AZ15,$BR$18:$BS$21,2,TRUE)))),"N.D.")</f>
        <v>N.D.</v>
      </c>
      <c r="BF15" s="1"/>
      <c r="BG15" s="1"/>
      <c r="BH15" s="18">
        <v>1</v>
      </c>
      <c r="BI15" s="16"/>
      <c r="BJ15" s="14"/>
      <c r="BK15" s="1"/>
      <c r="BL15" s="1"/>
      <c r="BM15" s="61"/>
      <c r="BN15" s="146">
        <f>+$BN$18*(1-($BL$11*(10-ROW(BN15))))</f>
        <v>3.3750000000000002E-2</v>
      </c>
      <c r="BO15" s="14">
        <v>8</v>
      </c>
      <c r="BP15" s="147">
        <f>+$BP$17*(1-$BL$11*(9-ROW(BP15)))</f>
        <v>2.9899999999999999E-2</v>
      </c>
      <c r="BQ15" s="14">
        <v>3</v>
      </c>
      <c r="BR15" s="147">
        <f>+BR$17*(1-$BL$11*(9-ROW(BR15)))</f>
        <v>0.90739999999999998</v>
      </c>
      <c r="BS15" s="14">
        <v>3</v>
      </c>
      <c r="BT15" s="147">
        <f>+BT$17*(1-$BL$11*(9-ROW(BT15)))</f>
        <v>6.5000000000000006E-3</v>
      </c>
      <c r="BU15" s="77">
        <v>3</v>
      </c>
      <c r="BV15" s="1"/>
      <c r="BW15" s="1"/>
      <c r="BX15" s="1"/>
      <c r="BY15" s="1"/>
      <c r="BZ15" s="1"/>
      <c r="CA15" s="70" t="s">
        <v>200</v>
      </c>
      <c r="CB15" s="71">
        <f>IF($AZ$17&lt;=CB13,1,0)</f>
        <v>0</v>
      </c>
      <c r="CC15" s="71">
        <f>IF(AND($AZ$17&lt;=CC13,$AZ$17&gt;CB13),1,0)</f>
        <v>0</v>
      </c>
      <c r="CD15" s="71">
        <f>IF(AND($AZ$17&lt;=CD13,$AZ$17&gt;CC13),1,0)</f>
        <v>0</v>
      </c>
      <c r="CE15" s="71">
        <f>IF(AND($AZ$17&lt;=CE13,$AZ$17&gt;CD13),1,0)</f>
        <v>0</v>
      </c>
      <c r="CF15" s="71">
        <f>IF(AND($AZ$17&lt;CF13,$AZ$17&gt;CE13),1,0)</f>
        <v>0</v>
      </c>
      <c r="CG15" s="71" t="str">
        <f>IF($AZ$17=CG13,1,"0")</f>
        <v>0</v>
      </c>
      <c r="CH15" s="71">
        <f>IF(AND($AZ$17&lt;=CH13,$AZ$17&gt;CG13),1,0)</f>
        <v>0</v>
      </c>
      <c r="CI15" s="71">
        <f>IF(AND($AZ$17&lt;=CI13,$AZ$17&gt;CH13),1,0)</f>
        <v>0</v>
      </c>
      <c r="CJ15" s="71">
        <f>IF(AND($AZ$17&lt;=CK13,$AZ$17&gt;CI13),1,0)</f>
        <v>0</v>
      </c>
      <c r="CK15" s="71">
        <f>IF($AZ$17&gt;CK13,1,0)</f>
        <v>1</v>
      </c>
      <c r="CL15" s="71"/>
      <c r="CM15" s="72">
        <f>SUMPRODUCT(CB14:CK14,CB15:CK15)</f>
        <v>10</v>
      </c>
      <c r="CN15" s="1"/>
      <c r="CO15" s="67" t="s">
        <v>201</v>
      </c>
      <c r="CP15" s="85">
        <v>1</v>
      </c>
      <c r="CQ15" s="85"/>
      <c r="CR15" s="88">
        <f>IF(9=1,1,0)</f>
        <v>0</v>
      </c>
      <c r="CS15" s="81">
        <f t="shared" si="1"/>
        <v>0</v>
      </c>
      <c r="CT15" s="1">
        <f t="shared" si="1"/>
        <v>0</v>
      </c>
      <c r="CU15" s="1">
        <f t="shared" si="1"/>
        <v>0</v>
      </c>
      <c r="CV15" s="1">
        <f t="shared" si="1"/>
        <v>0</v>
      </c>
      <c r="CW15" s="1">
        <f t="shared" si="1"/>
        <v>0</v>
      </c>
      <c r="CX15" s="1">
        <f t="shared" si="1"/>
        <v>0</v>
      </c>
      <c r="CY15" s="68">
        <f t="shared" si="1"/>
        <v>0</v>
      </c>
      <c r="CZ15" s="1"/>
      <c r="DA15" s="1"/>
      <c r="DB15" s="1"/>
      <c r="DC15" s="76">
        <v>2</v>
      </c>
      <c r="DD15" s="14">
        <v>3</v>
      </c>
      <c r="DE15" s="14">
        <v>4</v>
      </c>
      <c r="DF15" s="14">
        <v>5</v>
      </c>
      <c r="DG15" s="14">
        <v>5</v>
      </c>
      <c r="DH15" s="14">
        <v>6</v>
      </c>
      <c r="DI15" s="77">
        <v>7</v>
      </c>
      <c r="DJ15" s="1"/>
      <c r="DK15" s="72">
        <f>SUMPRODUCT(CS14:CY18,DC14:DI18)</f>
        <v>10</v>
      </c>
      <c r="DL15" s="1"/>
      <c r="DM15" s="1"/>
      <c r="DN15" s="255" t="s">
        <v>388</v>
      </c>
      <c r="DO15" s="255" t="s">
        <v>389</v>
      </c>
      <c r="DP15" s="256">
        <f>+DH37</f>
        <v>2</v>
      </c>
      <c r="DQ15" s="255"/>
      <c r="DR15" s="256">
        <f>+DH37</f>
        <v>2</v>
      </c>
      <c r="DS15" s="255"/>
      <c r="DT15" s="256">
        <f>+DH37</f>
        <v>2</v>
      </c>
      <c r="DU15" s="1"/>
      <c r="DV15" s="1"/>
      <c r="DW15" s="1"/>
      <c r="DX15" s="1"/>
      <c r="DY15"/>
      <c r="DZ15"/>
      <c r="EA15"/>
      <c r="EB15" s="1"/>
      <c r="ED15" s="1668" t="s">
        <v>390</v>
      </c>
      <c r="EE15" s="1669"/>
      <c r="EU15" s="132" t="s">
        <v>134</v>
      </c>
      <c r="EV15" s="1642" t="s">
        <v>135</v>
      </c>
      <c r="EW15" s="1642"/>
      <c r="EX15" s="1642"/>
      <c r="EY15" s="1642"/>
      <c r="EZ15" s="1643"/>
    </row>
    <row r="16" spans="2:163" ht="24.75" customHeight="1" thickBot="1" x14ac:dyDescent="0.4">
      <c r="B16" s="175" t="s">
        <v>37</v>
      </c>
      <c r="C16" s="176">
        <f t="shared" ref="C16:K16" si="3">+C17+C18+C39+C47</f>
        <v>0</v>
      </c>
      <c r="D16" s="177">
        <f t="shared" si="3"/>
        <v>0</v>
      </c>
      <c r="E16" s="177">
        <f t="shared" si="3"/>
        <v>0</v>
      </c>
      <c r="F16" s="178">
        <f t="shared" si="3"/>
        <v>0</v>
      </c>
      <c r="G16" s="177">
        <f t="shared" si="3"/>
        <v>0</v>
      </c>
      <c r="H16" s="177">
        <f t="shared" si="3"/>
        <v>0</v>
      </c>
      <c r="I16" s="177">
        <f t="shared" si="3"/>
        <v>0</v>
      </c>
      <c r="J16" s="177">
        <f t="shared" si="3"/>
        <v>0</v>
      </c>
      <c r="K16" s="177">
        <f t="shared" si="3"/>
        <v>0</v>
      </c>
      <c r="M16" s="175" t="s">
        <v>38</v>
      </c>
      <c r="N16" s="1629" t="str">
        <f>IF(N14&lt;&gt;"",CONCATENATE("ANNO ",N14),"")</f>
        <v>ANNO 121</v>
      </c>
      <c r="O16" s="1629"/>
      <c r="P16" s="1629" t="str">
        <f>IF(P14&lt;&gt;"",CONCATENATE("ANNO ",P14),"")</f>
        <v/>
      </c>
      <c r="Q16" s="1629"/>
      <c r="R16" s="1629" t="str">
        <f>IF(R14&lt;&gt;"",CONCATENATE("ANNO ",R14),"")</f>
        <v/>
      </c>
      <c r="S16" s="1629"/>
      <c r="T16" s="1629" t="str">
        <f>IF(T14&lt;&gt;"",CONCATENATE("ANNO ",T14),"")</f>
        <v/>
      </c>
      <c r="U16" s="1629"/>
      <c r="V16" s="1629" t="str">
        <f>IF(V14&lt;&gt;"",CONCATENATE("ANNO ",V14),"")</f>
        <v/>
      </c>
      <c r="W16" s="1629"/>
      <c r="X16" s="1629" t="str">
        <f>IF(X14&lt;&gt;"",CONCATENATE("ANNO ",X14),"")</f>
        <v/>
      </c>
      <c r="Y16" s="1629"/>
      <c r="Z16" s="1629" t="str">
        <f>IF(Z14&lt;&gt;"",CONCATENATE("ANNO ",Z14),"")</f>
        <v/>
      </c>
      <c r="AA16" s="1629"/>
      <c r="AB16" s="1629" t="str">
        <f>IF(AB14&lt;&gt;"",CONCATENATE("ANNO ",AB14),"")</f>
        <v/>
      </c>
      <c r="AC16" s="1629"/>
      <c r="AD16" s="1629" t="str">
        <f>IF(AD14&lt;&gt;"",CONCATENATE("ANNO ",AD14),"")</f>
        <v/>
      </c>
      <c r="AE16" s="1629"/>
      <c r="AL16" s="1"/>
      <c r="AM16" s="19" t="s">
        <v>202</v>
      </c>
      <c r="AN16" s="20" t="s">
        <v>203</v>
      </c>
      <c r="AO16" s="20">
        <v>1</v>
      </c>
      <c r="AP16" s="21">
        <v>3.8</v>
      </c>
      <c r="AQ16" s="21">
        <v>4.9000000000000004</v>
      </c>
      <c r="AR16" s="21">
        <v>108</v>
      </c>
      <c r="AS16" s="21">
        <v>0.4</v>
      </c>
      <c r="AT16" s="1"/>
      <c r="AU16" s="1"/>
      <c r="AV16" s="5" t="s">
        <v>173</v>
      </c>
      <c r="AW16" s="56" t="str">
        <f>IFERROR(+IF(Simulazione!$N$16="ANNO -3",(Simulazione!N37+Simulazione!N28+Simulazione!N26)/Simulazione!C16, "N.D."),"N.D.")</f>
        <v>N.D.</v>
      </c>
      <c r="AX16" s="56" t="str">
        <f>IFERROR(+IF(Simulazione!$N$16="ANNO -3",(Simulazione!P37+Simulazione!P28+Simulazione!P26)/Simulazione!D16,IF(Simulazione!N16="ANNO -2",(Simulazione!N37+Simulazione!N28+Simulazione!N26)/Simulazione!C16,"N.D.")),"N.D.")</f>
        <v>N.D.</v>
      </c>
      <c r="AY16" s="56" t="str">
        <f>IFERROR(+IF(Simulazione!$N$16="ANNO -3",(Simulazione!R37+Simulazione!R28+Simulazione!R26)/Simulazione!E16,IF(Simulazione!$N$16="ANNO -2",(Simulazione!P37+Simulazione!P28+Simulazione!P26)/Simulazione!D16,IF(Simulazione!$N$16="ANNO -1",(Simulazione!N37+Simulazione!N28+Simulazione!N26)/Simulazione!C16,"N.D."))),"N.D.")</f>
        <v>N.D.</v>
      </c>
      <c r="AZ16" s="60" t="str">
        <f>IFERROR((INDEX(Simulazione!$M$16:$AE$37,22,(MATCH(_xlfn.CONCAT("ANNO"," ",Simulazione!C10),Simulazione!$M$16:$AE$16,0)))+INDEX(Simulazione!$M$16:$AE$37,11,(MATCH(_xlfn.CONCAT("ANNO"," ",Simulazione!C10),Simulazione!$M$16:$AE$16,0)))+INDEX(Simulazione!$M$16:$AE$37,13,(MATCH(_xlfn.CONCAT("ANNO"," ",Simulazione!C10),Simulazione!$M$16:$AE$16,0))))/INDEX(Simulazione!$B$13:$K$67,4,MATCH($AZ$11,Simulazione!$B$13:$K$13,0)),"N.D.")</f>
        <v>N.D.</v>
      </c>
      <c r="BA16" s="1"/>
      <c r="BB16" s="105" t="b">
        <f>+IF(COUNT(AW16:AY16)=3,((AW16*$BH$13)+(AX16*$BI$13)+(AY16*$BJ$13)),
IF(COUNT(AW16:AY16)=2,((AX16*$BH$14)+(AY16*$BI$14)),
IF(COUNT(AW16:AY16)=1,AY16)))</f>
        <v>0</v>
      </c>
      <c r="BC16" s="1"/>
      <c r="BD16" s="109" t="str">
        <f>+IFERROR(IF(BB16&lt;BT13,1,IF(BB16&lt;=BT17,VLOOKUP(BB16,$BT$13:$BU$17,2),IF(AND(BB16&gt;BT17,BB16&lt;BT18),6,VLOOKUP(BB16,$BT$18:$BU$21,2,TRUE)))),"N.D.")</f>
        <v>N.D.</v>
      </c>
      <c r="BE16" s="109" t="str">
        <f>+IFERROR(IF(AZ16&lt;BT13,1,IF(AZ16&lt;=BT17,VLOOKUP(AZ16,$BT$13:$BU$17,2),IF(AND(AZ16&gt;BT17,AZ16&lt;BT18),6,VLOOKUP(AZ16,$BT$18:$BU$21,2,TRUE)))),"N.D.")</f>
        <v>N.D.</v>
      </c>
      <c r="BF16" s="1"/>
      <c r="BG16" s="1"/>
      <c r="BH16" s="1"/>
      <c r="BI16" s="1"/>
      <c r="BJ16" s="148"/>
      <c r="BK16" s="1"/>
      <c r="BL16" s="1"/>
      <c r="BM16" s="61"/>
      <c r="BN16" s="146">
        <f>+$BN$18*(1-($BL$11*(10-ROW(BN16))))</f>
        <v>3.5100000000000006E-2</v>
      </c>
      <c r="BO16" s="14">
        <v>7</v>
      </c>
      <c r="BP16" s="147">
        <f>+$BP$17*(1-$BL$11*(9-ROW(BP16)))</f>
        <v>3.1050000000000001E-2</v>
      </c>
      <c r="BQ16" s="14">
        <v>4</v>
      </c>
      <c r="BR16" s="147">
        <f>+BR$17*(1-$BL$11*(9-ROW(BR16)))</f>
        <v>0.94230000000000003</v>
      </c>
      <c r="BS16" s="14">
        <v>4</v>
      </c>
      <c r="BT16" s="147">
        <f>+BT$17*(1-$BL$11*(9-ROW(BT16)))</f>
        <v>6.7500000000000008E-3</v>
      </c>
      <c r="BU16" s="77">
        <v>4</v>
      </c>
      <c r="BV16" s="1"/>
      <c r="BW16" s="1"/>
      <c r="BX16" s="1"/>
      <c r="BY16" s="1"/>
      <c r="BZ16" s="1"/>
      <c r="CA16" s="1"/>
      <c r="CB16" s="1"/>
      <c r="CC16" s="1"/>
      <c r="CD16" s="1"/>
      <c r="CE16" s="1"/>
      <c r="CF16" s="1"/>
      <c r="CG16" s="1"/>
      <c r="CH16" s="1"/>
      <c r="CI16" s="1"/>
      <c r="CJ16" s="1"/>
      <c r="CK16" s="1"/>
      <c r="CL16" s="1"/>
      <c r="CM16" s="1"/>
      <c r="CN16" s="1"/>
      <c r="CO16" s="81" t="s">
        <v>204</v>
      </c>
      <c r="CP16" s="89">
        <v>1.1000000000000001</v>
      </c>
      <c r="CQ16" s="89"/>
      <c r="CR16" s="88">
        <f>IF(AND(AZ17&gt;CP15,AZ17&lt;=CP16),1,0)</f>
        <v>0</v>
      </c>
      <c r="CS16" s="81">
        <f t="shared" si="1"/>
        <v>0</v>
      </c>
      <c r="CT16" s="1">
        <f t="shared" si="1"/>
        <v>0</v>
      </c>
      <c r="CU16" s="1">
        <f t="shared" si="1"/>
        <v>0</v>
      </c>
      <c r="CV16" s="1">
        <f t="shared" si="1"/>
        <v>0</v>
      </c>
      <c r="CW16" s="1">
        <f t="shared" si="1"/>
        <v>0</v>
      </c>
      <c r="CX16" s="1">
        <f t="shared" si="1"/>
        <v>0</v>
      </c>
      <c r="CY16" s="68">
        <f t="shared" si="1"/>
        <v>0</v>
      </c>
      <c r="CZ16" s="1"/>
      <c r="DA16" s="1"/>
      <c r="DB16" s="1"/>
      <c r="DC16" s="76">
        <v>3</v>
      </c>
      <c r="DD16" s="14">
        <v>4</v>
      </c>
      <c r="DE16" s="14">
        <v>5</v>
      </c>
      <c r="DF16" s="14">
        <v>6</v>
      </c>
      <c r="DG16" s="14">
        <v>6</v>
      </c>
      <c r="DH16" s="14">
        <v>7</v>
      </c>
      <c r="DI16" s="77">
        <v>8</v>
      </c>
      <c r="DJ16" s="1"/>
      <c r="DK16" s="68"/>
      <c r="DL16" s="1"/>
      <c r="DM16" s="1"/>
      <c r="DN16" s="258" t="s">
        <v>391</v>
      </c>
      <c r="DO16" s="258" t="s">
        <v>392</v>
      </c>
      <c r="DP16" s="258"/>
      <c r="DQ16" s="258"/>
      <c r="DR16" s="258"/>
      <c r="DS16" s="259" t="str">
        <f>+CQ49</f>
        <v>Accoglibile</v>
      </c>
      <c r="DT16" s="258"/>
      <c r="DU16" s="1"/>
      <c r="DV16" s="1"/>
      <c r="DW16" s="1"/>
      <c r="DX16" s="1"/>
      <c r="DY16"/>
      <c r="DZ16"/>
      <c r="EA16"/>
      <c r="EB16" s="1"/>
      <c r="ED16" s="1262" t="s">
        <v>372</v>
      </c>
      <c r="EE16" s="1267" cm="1">
        <f t="array" ref="EE16">+IFERROR(INDEX(Simulazione!$M$16:$AE$37,2,(MATCH(_xlfn.CONCAT("ANNO"," ",Simulazione!C10),Simulazione!$M$16:$AE$16,0)+1))-INDEX(Simulazione!$M$16:$AE$37,6,(MATCH(_xlfn.CONCAT("ANNO"," ",Simulazione!C10),Simulazione!$M$16:$AE$16,0)+1))+INDEX(Simulazione!$M$16:$AE$37,11,(MATCH(_xlfn.CONCAT("ANNO"," ",Simulazione!C10),Simulazione!$M$16:$AE$16,0)+1))+INDEX(Simulazione!$M$16:$AE$37,13,(MATCH(_xlfn.CONCAT("ANNO"," ",Simulazione!C10),Simulazione!$M$16:$AE$16,0)+1)),0)</f>
        <v>0</v>
      </c>
      <c r="EU16" s="141" t="s">
        <v>136</v>
      </c>
      <c r="EV16" s="301" t="s">
        <v>147</v>
      </c>
      <c r="EW16" s="1644"/>
      <c r="EX16" s="134" t="str">
        <f>+IF($CW$42&gt;=9,"X","")</f>
        <v/>
      </c>
      <c r="EY16" s="135" t="str">
        <f>+IF(EX16="x",10,"")</f>
        <v/>
      </c>
      <c r="EZ16" s="1646"/>
    </row>
    <row r="17" spans="2:156" ht="25" customHeight="1" x14ac:dyDescent="0.35">
      <c r="B17" s="179" t="s">
        <v>39</v>
      </c>
      <c r="C17" s="288"/>
      <c r="D17" s="289"/>
      <c r="E17" s="289"/>
      <c r="F17" s="289"/>
      <c r="G17" s="289"/>
      <c r="H17" s="289"/>
      <c r="I17" s="289"/>
      <c r="J17" s="289"/>
      <c r="K17" s="289"/>
      <c r="M17" s="179" t="s">
        <v>40</v>
      </c>
      <c r="N17" s="180">
        <f>+N18+N19+N20</f>
        <v>0</v>
      </c>
      <c r="O17" s="181">
        <f t="shared" ref="O17:AE17" si="4">+O18+O19+O20</f>
        <v>0</v>
      </c>
      <c r="P17" s="182">
        <f t="shared" si="4"/>
        <v>0</v>
      </c>
      <c r="Q17" s="181">
        <f t="shared" si="4"/>
        <v>0</v>
      </c>
      <c r="R17" s="182">
        <f t="shared" si="4"/>
        <v>0</v>
      </c>
      <c r="S17" s="181">
        <f t="shared" si="4"/>
        <v>0</v>
      </c>
      <c r="T17" s="182">
        <f t="shared" si="4"/>
        <v>0</v>
      </c>
      <c r="U17" s="181">
        <f t="shared" si="4"/>
        <v>0</v>
      </c>
      <c r="V17" s="182">
        <f t="shared" si="4"/>
        <v>0</v>
      </c>
      <c r="W17" s="181">
        <f t="shared" si="4"/>
        <v>0</v>
      </c>
      <c r="X17" s="182">
        <f t="shared" si="4"/>
        <v>0</v>
      </c>
      <c r="Y17" s="181">
        <f t="shared" si="4"/>
        <v>0</v>
      </c>
      <c r="Z17" s="182">
        <f t="shared" si="4"/>
        <v>0</v>
      </c>
      <c r="AA17" s="181">
        <f t="shared" si="4"/>
        <v>0</v>
      </c>
      <c r="AB17" s="182">
        <f t="shared" si="4"/>
        <v>0</v>
      </c>
      <c r="AC17" s="181">
        <f t="shared" si="4"/>
        <v>0</v>
      </c>
      <c r="AD17" s="182">
        <f t="shared" si="4"/>
        <v>0</v>
      </c>
      <c r="AE17" s="181">
        <f t="shared" si="4"/>
        <v>0</v>
      </c>
      <c r="AL17" s="1"/>
      <c r="AM17" s="11" t="s">
        <v>205</v>
      </c>
      <c r="AN17" s="12" t="s">
        <v>206</v>
      </c>
      <c r="AO17" s="12">
        <v>1</v>
      </c>
      <c r="AP17" s="13">
        <v>2.8</v>
      </c>
      <c r="AQ17" s="13">
        <v>5.3</v>
      </c>
      <c r="AR17" s="13">
        <v>101.1</v>
      </c>
      <c r="AS17" s="13">
        <v>1.4</v>
      </c>
      <c r="AT17" s="1"/>
      <c r="AU17" s="1"/>
      <c r="AV17" s="5" t="s">
        <v>207</v>
      </c>
      <c r="AW17" s="23"/>
      <c r="AX17" s="23"/>
      <c r="AY17" s="23"/>
      <c r="AZ17" s="96" t="str">
        <f>+IFERROR(IF(EE4&gt;0,EE4*(+INDEX(Simulazione!M15:AE37,3,MATCH(Simulazione!DA36,Simulazione!M16:AE16,0))),(INDEX(Simulazione!$M$16:$AE$37,2,(MATCH(_xlfn.CONCAT("ANNO"," ",Simulazione!C10),Simulazione!$M$16:$AE$16,0)))-INDEX(Simulazione!$M$16:$AE$37,6,(MATCH(_xlfn.CONCAT("ANNO"," ",Simulazione!C10),Simulazione!$M$16:$AE$16,0)))+INDEX(Simulazione!$M$16:$AE$37,11,(MATCH(_xlfn.CONCAT("ANNO"," ",Simulazione!C10),Simulazione!$M$16:$AE$16,0)))+INDEX(Simulazione!$M$16:$AE$37,13,(MATCH(_xlfn.CONCAT("ANNO"," ",Simulazione!C10),Simulazione!$M$16:$AE$16,0)))))/(+INDEX(Simulazione!$M$43:$T$60,13,MATCH("Anno a regime investimento",Simulazione!$M$41:$T$41,0))+INDEX(Simulazione!$M$43:$T$60,14,MATCH("Anno a regime investimento",Simulazione!$M$41:$T$41,0))),"N.D.")</f>
        <v>N.D.</v>
      </c>
      <c r="BA17" s="1"/>
      <c r="BB17" s="1"/>
      <c r="BC17" s="1"/>
      <c r="BD17" s="1"/>
      <c r="BE17" s="144" t="b">
        <f>+IF(BM17="&gt;",(IF(AZ17&gt;=#REF!,#REF!,IF(AND(AZ17&gt;=BR17,AZ17&lt;#REF!),BT12,BR12))))</f>
        <v>0</v>
      </c>
      <c r="BF17" s="1665"/>
      <c r="BG17" s="1"/>
      <c r="BH17" s="1"/>
      <c r="BI17" s="1"/>
      <c r="BJ17" s="108">
        <f>IF(BJ16&lt;BN13,10,IF(BJ16&lt;=BN18,VLOOKUP(BJ16,$BN$13:$BO$18,2),IF(AND(BJ16&gt;BN18,BJ16&lt;BN19),4,VLOOKUP(BJ16,$BN$19:$BO$21,2,TRUE))))</f>
        <v>10</v>
      </c>
      <c r="BK17" s="1"/>
      <c r="BL17" s="1"/>
      <c r="BM17" s="61"/>
      <c r="BN17" s="149">
        <f>+$BN$18*(1-($BL$11*(10-ROW(BN17))))</f>
        <v>3.6450000000000003E-2</v>
      </c>
      <c r="BO17" s="14">
        <v>6</v>
      </c>
      <c r="BP17" s="150">
        <f>+AQ23</f>
        <v>2.3E-2</v>
      </c>
      <c r="BQ17" s="14">
        <v>5</v>
      </c>
      <c r="BR17" s="147">
        <f>+AR23</f>
        <v>0.69799999999999995</v>
      </c>
      <c r="BS17" s="14">
        <v>5</v>
      </c>
      <c r="BT17" s="147">
        <f>+AS23</f>
        <v>5.0000000000000001E-3</v>
      </c>
      <c r="BU17" s="77">
        <v>5</v>
      </c>
      <c r="BV17" s="1"/>
      <c r="BW17" s="1"/>
      <c r="BX17" s="1"/>
      <c r="BY17" s="1"/>
      <c r="BZ17" s="1"/>
      <c r="CA17" s="1"/>
      <c r="CB17" s="1"/>
      <c r="CC17" s="1"/>
      <c r="CD17" s="1"/>
      <c r="CE17" s="1"/>
      <c r="CF17" s="1"/>
      <c r="CG17" s="1"/>
      <c r="CH17" s="1"/>
      <c r="CI17" s="1"/>
      <c r="CJ17" s="1"/>
      <c r="CK17" s="1"/>
      <c r="CL17" s="1"/>
      <c r="CM17" s="1"/>
      <c r="CN17" s="1"/>
      <c r="CO17" s="81"/>
      <c r="CP17" s="85">
        <v>1.2</v>
      </c>
      <c r="CQ17" s="85"/>
      <c r="CR17" s="88">
        <f>IF(AND(AZ18&gt;CP16,AZ18&lt;=CP17),1,0)</f>
        <v>0</v>
      </c>
      <c r="CS17" s="81">
        <f t="shared" si="1"/>
        <v>0</v>
      </c>
      <c r="CT17" s="1">
        <f t="shared" si="1"/>
        <v>0</v>
      </c>
      <c r="CU17" s="1">
        <f t="shared" si="1"/>
        <v>0</v>
      </c>
      <c r="CV17" s="1">
        <f t="shared" si="1"/>
        <v>0</v>
      </c>
      <c r="CW17" s="1">
        <f t="shared" si="1"/>
        <v>0</v>
      </c>
      <c r="CX17" s="1">
        <f t="shared" si="1"/>
        <v>0</v>
      </c>
      <c r="CY17" s="68">
        <f t="shared" si="1"/>
        <v>0</v>
      </c>
      <c r="CZ17" s="1"/>
      <c r="DA17" s="1"/>
      <c r="DB17" s="1"/>
      <c r="DC17" s="76">
        <v>4</v>
      </c>
      <c r="DD17" s="14">
        <v>5</v>
      </c>
      <c r="DE17" s="14">
        <v>6</v>
      </c>
      <c r="DF17" s="14">
        <v>7</v>
      </c>
      <c r="DG17" s="14">
        <v>7</v>
      </c>
      <c r="DH17" s="14">
        <v>8</v>
      </c>
      <c r="DI17" s="77">
        <v>9</v>
      </c>
      <c r="DJ17" s="1"/>
      <c r="DK17" s="68"/>
      <c r="DL17" s="1"/>
      <c r="DM17" s="1"/>
      <c r="DN17" s="1679" t="s">
        <v>393</v>
      </c>
      <c r="DO17" s="254" t="s">
        <v>394</v>
      </c>
      <c r="DP17" s="257" t="str">
        <f>+DA38</f>
        <v>N.D.</v>
      </c>
      <c r="DQ17" s="254"/>
      <c r="DR17" s="257" t="str">
        <f>+DA38</f>
        <v>N.D.</v>
      </c>
      <c r="DS17" s="254"/>
      <c r="DT17" s="257" t="str">
        <f>+DA38</f>
        <v>N.D.</v>
      </c>
      <c r="DU17" s="1"/>
      <c r="DV17" s="1"/>
      <c r="DW17" s="1"/>
      <c r="DX17" s="1"/>
      <c r="DY17"/>
      <c r="DZ17"/>
      <c r="EA17"/>
      <c r="EB17" s="1"/>
      <c r="ED17" s="1262" t="s">
        <v>374</v>
      </c>
      <c r="EE17" s="1268" cm="1">
        <f t="array" ref="EE17">+IFERROR((+INDEX(Simulazione!$M$16:$AE$37,2,(MATCH(_xlfn.CONCAT("ANNO"," ",Simulazione!C10),Simulazione!$M$16:$AE$16,0)+1))-INDEX(Simulazione!$M$16:$AE$37,6,(MATCH(_xlfn.CONCAT("ANNO"," ",Simulazione!C10),Simulazione!$M$16:$AE$16,0)+1))+INDEX(Simulazione!$M$16:$AE$37,11,(MATCH(_xlfn.CONCAT("ANNO"," ",Simulazione!C10),Simulazione!$M$16:$AE$16,0)+1))+INDEX(Simulazione!$M$16:$AE$37,13,(MATCH(_xlfn.CONCAT("ANNO"," ",Simulazione!C10),Simulazione!$M$16:$AE$16,0)+1)))/(+INDEX(Simulazione!$M$16:$AE$37,2,(MATCH(_xlfn.CONCAT("ANNO"," ",Simulazione!C10),Simulazione!$M$16:$AE$16,0)+1))),0)</f>
        <v>0</v>
      </c>
      <c r="EU17" s="136" t="s">
        <v>138</v>
      </c>
      <c r="EV17" s="301" t="s">
        <v>395</v>
      </c>
      <c r="EW17" s="1644"/>
      <c r="EX17" s="137" t="str">
        <f>+IF($CW$42=8,"X","")</f>
        <v/>
      </c>
      <c r="EY17" s="138" t="str">
        <f>+IF(EX17="x",8,"")</f>
        <v/>
      </c>
      <c r="EZ17" s="1646"/>
    </row>
    <row r="18" spans="2:156" ht="25" customHeight="1" x14ac:dyDescent="0.35">
      <c r="B18" s="183" t="s">
        <v>41</v>
      </c>
      <c r="C18" s="184">
        <f t="shared" ref="C18:K18" si="5">+C19+C27+C33</f>
        <v>0</v>
      </c>
      <c r="D18" s="185">
        <f t="shared" si="5"/>
        <v>0</v>
      </c>
      <c r="E18" s="185">
        <f t="shared" si="5"/>
        <v>0</v>
      </c>
      <c r="F18" s="185">
        <f t="shared" si="5"/>
        <v>0</v>
      </c>
      <c r="G18" s="185">
        <f t="shared" si="5"/>
        <v>0</v>
      </c>
      <c r="H18" s="185">
        <f t="shared" si="5"/>
        <v>0</v>
      </c>
      <c r="I18" s="185">
        <f t="shared" si="5"/>
        <v>0</v>
      </c>
      <c r="J18" s="185">
        <f t="shared" si="5"/>
        <v>0</v>
      </c>
      <c r="K18" s="185">
        <f t="shared" si="5"/>
        <v>0</v>
      </c>
      <c r="M18" s="186" t="s">
        <v>42</v>
      </c>
      <c r="N18" s="290"/>
      <c r="O18" s="187"/>
      <c r="P18" s="188"/>
      <c r="Q18" s="187"/>
      <c r="R18" s="188"/>
      <c r="S18" s="187"/>
      <c r="T18" s="1282"/>
      <c r="U18" s="187"/>
      <c r="V18" s="188"/>
      <c r="W18" s="187"/>
      <c r="X18" s="188"/>
      <c r="Y18" s="187"/>
      <c r="Z18" s="188"/>
      <c r="AA18" s="187"/>
      <c r="AB18" s="188"/>
      <c r="AC18" s="187"/>
      <c r="AD18" s="188"/>
      <c r="AE18" s="187"/>
      <c r="AL18" s="1"/>
      <c r="AM18" s="19" t="s">
        <v>208</v>
      </c>
      <c r="AN18" s="20" t="s">
        <v>209</v>
      </c>
      <c r="AO18" s="20">
        <v>1</v>
      </c>
      <c r="AP18" s="21">
        <v>2.1</v>
      </c>
      <c r="AQ18" s="21">
        <v>6.3</v>
      </c>
      <c r="AR18" s="21">
        <v>101.4</v>
      </c>
      <c r="AS18" s="21">
        <v>0.6</v>
      </c>
      <c r="AT18" s="1"/>
      <c r="AU18" s="1"/>
      <c r="AV18" s="5" t="s">
        <v>210</v>
      </c>
      <c r="AW18" s="23"/>
      <c r="AX18" s="23"/>
      <c r="AY18" s="23"/>
      <c r="AZ18" s="95" t="str" cm="1">
        <f t="array" ref="AZ18">+IFERROR((INDEX(Simulazione!$M$16:$AE$37,2,(MATCH(_xlfn.CONCAT("ANNO"," ",Simulazione!C10),Simulazione!$M$16:$AE$16,0)+1))-INDEX(Simulazione!$M$16:$AE$37,6,(MATCH(_xlfn.CONCAT("ANNO"," ",Simulazione!C10),Simulazione!$M$16:$AE$16,0)+1))+INDEX(Simulazione!$M$16:$AE$37,11,(MATCH(_xlfn.CONCAT("ANNO"," ",Simulazione!C10),Simulazione!$M$16:$AE$16,0)+1))+INDEX(Simulazione!$M$16:$AE$37,13,(MATCH(_xlfn.CONCAT("ANNO"," ",Simulazione!C10),Simulazione!$M$16:$AE$16,0)+1)))/(INDEX(Simulazione!$M$43:$T$60,14,MATCH("Anno a regime investimento",Simulazione!$M$41:$T$41,0))+'Dati riepilogativi'!B7),"N.D.")</f>
        <v>N.D.</v>
      </c>
      <c r="BA18" s="1"/>
      <c r="BB18" s="1"/>
      <c r="BC18" s="1"/>
      <c r="BD18" s="1"/>
      <c r="BE18" s="144" t="b">
        <f>+IF(BM18="&gt;",(IF(AZ18&gt;=#REF!,#REF!,IF(AND(AZ18&gt;=BR18,AZ18&lt;#REF!),BT12,BR12))))</f>
        <v>0</v>
      </c>
      <c r="BF18" s="1665"/>
      <c r="BG18" s="14"/>
      <c r="BH18" s="1"/>
      <c r="BI18" s="1"/>
      <c r="BJ18" s="1"/>
      <c r="BK18" s="1"/>
      <c r="BL18" s="1"/>
      <c r="BM18" s="61"/>
      <c r="BN18" s="146">
        <f>+AP23</f>
        <v>2.7000000000000003E-2</v>
      </c>
      <c r="BO18" s="14">
        <v>5</v>
      </c>
      <c r="BP18" s="147">
        <f>+$BP$17*(1+$BL$11*(ROW(BP18)-9))</f>
        <v>3.3349999999999998E-2</v>
      </c>
      <c r="BQ18" s="14">
        <v>7</v>
      </c>
      <c r="BR18" s="147">
        <f>+BR$17*(1+$BL$11*(ROW(BR18)-9))</f>
        <v>1.0121</v>
      </c>
      <c r="BS18" s="14">
        <v>7</v>
      </c>
      <c r="BT18" s="147">
        <f>+BT$17*(1+$BL$11*(ROW(BT18)-9))</f>
        <v>7.2499999999999995E-3</v>
      </c>
      <c r="BU18" s="77">
        <v>7</v>
      </c>
      <c r="BV18" s="1"/>
      <c r="BW18" s="1"/>
      <c r="BX18" s="1"/>
      <c r="BY18" s="1"/>
      <c r="BZ18" s="1"/>
      <c r="CA18" s="1"/>
      <c r="CB18" s="1"/>
      <c r="CC18" s="1"/>
      <c r="CD18" s="1"/>
      <c r="CE18" s="1"/>
      <c r="CF18" s="1"/>
      <c r="CG18" s="1"/>
      <c r="CH18" s="1"/>
      <c r="CI18" s="1"/>
      <c r="CJ18" s="1"/>
      <c r="CK18" s="1"/>
      <c r="CL18" s="1"/>
      <c r="CM18" s="1"/>
      <c r="CN18" s="1"/>
      <c r="CO18" s="82"/>
      <c r="CP18" s="90">
        <v>1.2</v>
      </c>
      <c r="CQ18" s="90"/>
      <c r="CR18" s="91">
        <f>IF(AZ17&gt;CP18,1,0)</f>
        <v>1</v>
      </c>
      <c r="CS18" s="82">
        <f t="shared" si="1"/>
        <v>0</v>
      </c>
      <c r="CT18" s="71">
        <f t="shared" si="1"/>
        <v>0</v>
      </c>
      <c r="CU18" s="71">
        <f t="shared" si="1"/>
        <v>0</v>
      </c>
      <c r="CV18" s="71">
        <f t="shared" si="1"/>
        <v>0</v>
      </c>
      <c r="CW18" s="71">
        <f t="shared" si="1"/>
        <v>0</v>
      </c>
      <c r="CX18" s="71">
        <f t="shared" si="1"/>
        <v>0</v>
      </c>
      <c r="CY18" s="71">
        <f t="shared" si="1"/>
        <v>1</v>
      </c>
      <c r="CZ18" s="82"/>
      <c r="DA18" s="71"/>
      <c r="DB18" s="71"/>
      <c r="DC18" s="78">
        <v>4</v>
      </c>
      <c r="DD18" s="79">
        <v>5</v>
      </c>
      <c r="DE18" s="79">
        <v>6</v>
      </c>
      <c r="DF18" s="79">
        <v>7</v>
      </c>
      <c r="DG18" s="79">
        <v>8</v>
      </c>
      <c r="DH18" s="79">
        <v>9</v>
      </c>
      <c r="DI18" s="80">
        <v>10</v>
      </c>
      <c r="DJ18" s="71"/>
      <c r="DK18" s="83"/>
      <c r="DL18" s="1"/>
      <c r="DM18" s="1"/>
      <c r="DN18" s="1679"/>
      <c r="DO18" s="254" t="s">
        <v>396</v>
      </c>
      <c r="DP18" s="257" t="e">
        <f>+AVERAGE(BE13:BE16)</f>
        <v>#DIV/0!</v>
      </c>
      <c r="DQ18" s="257" t="str">
        <f>IFERROR(AVERAGE(BD13:BD16),"N.D.")</f>
        <v>N.D.</v>
      </c>
      <c r="DR18" s="257" t="e">
        <f>+AVERAGE(BE13:BE16)</f>
        <v>#DIV/0!</v>
      </c>
      <c r="DS18" s="257" t="str">
        <f>IFERROR(AVERAGE(BD13:BD16),"N.D.")</f>
        <v>N.D.</v>
      </c>
      <c r="DT18" s="257" t="e">
        <f>+AVERAGE(BE13:BE16)</f>
        <v>#DIV/0!</v>
      </c>
      <c r="DU18" s="1"/>
      <c r="DV18" s="1"/>
      <c r="DW18" s="1"/>
      <c r="DX18" s="1"/>
      <c r="DY18"/>
      <c r="DZ18"/>
      <c r="EA18"/>
      <c r="EB18" s="1"/>
      <c r="ED18" s="1672" t="s">
        <v>377</v>
      </c>
      <c r="EE18" s="1672"/>
      <c r="EU18" s="139" t="s">
        <v>139</v>
      </c>
      <c r="EV18" s="301" t="s">
        <v>149</v>
      </c>
      <c r="EW18" s="1644"/>
      <c r="EX18" s="137" t="str">
        <f>+IF($CW$42=7,"X","")</f>
        <v/>
      </c>
      <c r="EY18" s="138" t="str">
        <f>+IF(EX18="x",7,"")</f>
        <v/>
      </c>
      <c r="EZ18" s="1646"/>
    </row>
    <row r="19" spans="2:156" ht="35.25" customHeight="1" x14ac:dyDescent="0.35">
      <c r="B19" s="186" t="s">
        <v>43</v>
      </c>
      <c r="C19" s="189">
        <f t="shared" ref="C19:K19" si="6">SUM(C20:C26)</f>
        <v>0</v>
      </c>
      <c r="D19" s="190">
        <f t="shared" si="6"/>
        <v>0</v>
      </c>
      <c r="E19" s="190">
        <f t="shared" si="6"/>
        <v>0</v>
      </c>
      <c r="F19" s="190">
        <f t="shared" si="6"/>
        <v>0</v>
      </c>
      <c r="G19" s="190">
        <f t="shared" si="6"/>
        <v>0</v>
      </c>
      <c r="H19" s="190">
        <f t="shared" si="6"/>
        <v>0</v>
      </c>
      <c r="I19" s="190">
        <f t="shared" si="6"/>
        <v>0</v>
      </c>
      <c r="J19" s="190">
        <f t="shared" si="6"/>
        <v>0</v>
      </c>
      <c r="K19" s="190">
        <f t="shared" si="6"/>
        <v>0</v>
      </c>
      <c r="M19" s="191" t="s">
        <v>44</v>
      </c>
      <c r="N19" s="290"/>
      <c r="O19" s="187"/>
      <c r="P19" s="188"/>
      <c r="Q19" s="187"/>
      <c r="R19" s="188"/>
      <c r="S19" s="187"/>
      <c r="T19" s="1282"/>
      <c r="U19" s="187"/>
      <c r="V19" s="188"/>
      <c r="W19" s="187"/>
      <c r="X19" s="188"/>
      <c r="Y19" s="187"/>
      <c r="Z19" s="188"/>
      <c r="AA19" s="187"/>
      <c r="AB19" s="188"/>
      <c r="AC19" s="187"/>
      <c r="AD19" s="188"/>
      <c r="AE19" s="187"/>
      <c r="AL19" s="1"/>
      <c r="AM19" s="11" t="s">
        <v>211</v>
      </c>
      <c r="AN19" s="12" t="s">
        <v>212</v>
      </c>
      <c r="AO19" s="12">
        <v>1</v>
      </c>
      <c r="AP19" s="13">
        <v>1.5</v>
      </c>
      <c r="AQ19" s="13">
        <v>4.2</v>
      </c>
      <c r="AR19" s="13">
        <v>89.8</v>
      </c>
      <c r="AS19" s="13">
        <v>1</v>
      </c>
      <c r="AT19" s="1"/>
      <c r="AU19" s="1"/>
      <c r="AV19" s="1"/>
      <c r="AW19" s="1"/>
      <c r="AX19" s="1"/>
      <c r="AY19" s="1"/>
      <c r="AZ19" s="1"/>
      <c r="BA19" s="1"/>
      <c r="BB19" s="1"/>
      <c r="BC19" s="1" t="s">
        <v>390</v>
      </c>
      <c r="BD19" s="1"/>
      <c r="BE19" s="1"/>
      <c r="BF19" s="1"/>
      <c r="BG19" s="1"/>
      <c r="BH19" s="1"/>
      <c r="BI19" s="1"/>
      <c r="BJ19" s="1"/>
      <c r="BK19" s="1"/>
      <c r="BL19" s="1"/>
      <c r="BM19" s="61"/>
      <c r="BN19" s="146">
        <f>+$BN$18*(1+($BL$11*(ROW(BN19)-10)))</f>
        <v>3.9150000000000004E-2</v>
      </c>
      <c r="BO19" s="14">
        <v>3</v>
      </c>
      <c r="BP19" s="147">
        <f>+$BP$17*(1+$BL$11*(ROW(BP19)-9))</f>
        <v>3.4500000000000003E-2</v>
      </c>
      <c r="BQ19" s="14">
        <v>8</v>
      </c>
      <c r="BR19" s="147">
        <f>+BR$17*(1+$BL$11*(ROW(BR19)-9))</f>
        <v>1.0469999999999999</v>
      </c>
      <c r="BS19" s="14">
        <v>8</v>
      </c>
      <c r="BT19" s="147">
        <f>+BT$17*(1+$BL$11*(ROW(BT19)-9))</f>
        <v>7.4999999999999997E-3</v>
      </c>
      <c r="BU19" s="77">
        <v>8</v>
      </c>
      <c r="BV19" s="1"/>
      <c r="BW19" s="1"/>
      <c r="BX19" s="1"/>
      <c r="BY19" s="1"/>
      <c r="BZ19" s="1"/>
      <c r="CA19" s="1"/>
      <c r="CB19" s="1"/>
      <c r="CC19" s="64" t="s">
        <v>213</v>
      </c>
      <c r="CD19" s="65"/>
      <c r="CE19" s="66"/>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t="s">
        <v>397</v>
      </c>
      <c r="DP19" s="310" t="str">
        <f>IF(C13="ANNO T0",1,"")</f>
        <v/>
      </c>
      <c r="DQ19" s="1677" t="str">
        <f>IF(AND('Dati riepilogativi'!B2="capo ii",Simulazione!C13&lt;&gt;"anno t0"),"1","")</f>
        <v/>
      </c>
      <c r="DR19" s="1677"/>
      <c r="DS19" s="1677">
        <f>IF('Dati riepilogativi'!B2="capo iii",1,"")</f>
        <v>1</v>
      </c>
      <c r="DT19" s="1677"/>
      <c r="DU19" s="1"/>
      <c r="DV19" s="1"/>
      <c r="DW19" s="1"/>
      <c r="DX19" s="1"/>
      <c r="DY19"/>
      <c r="DZ19"/>
      <c r="EA19"/>
      <c r="EB19" s="1"/>
      <c r="ED19" s="1265" t="s">
        <v>380</v>
      </c>
      <c r="EE19" s="1266" cm="1">
        <f t="array" ref="EE19">IFERROR(+INDEX(Simulazione!$M$16:$AE$37,7,(MATCH(_xlfn.CONCAT("ANNO"," ",Simulazione!C10),Simulazione!$M$16:$AE$16,0)+1))/INDEX(Simulazione!$M$16:$AE$37,2,(MATCH(_xlfn.CONCAT("ANNO"," ",Simulazione!C10),Simulazione!$M$16:$AE$16,0)+1)),0)</f>
        <v>0</v>
      </c>
      <c r="EU19" s="139">
        <v>0</v>
      </c>
      <c r="EV19" s="301" t="s">
        <v>150</v>
      </c>
      <c r="EW19" s="1644"/>
      <c r="EX19" s="137" t="str">
        <f>+IF($CW$42=6,"X","")</f>
        <v/>
      </c>
      <c r="EY19" s="138" t="str">
        <f>+IF(EX19="x",6,"")</f>
        <v/>
      </c>
      <c r="EZ19" s="1646"/>
    </row>
    <row r="20" spans="2:156" ht="42.75" customHeight="1" x14ac:dyDescent="0.35">
      <c r="B20" s="186" t="s">
        <v>45</v>
      </c>
      <c r="C20" s="288"/>
      <c r="D20" s="289"/>
      <c r="E20" s="289"/>
      <c r="F20" s="1283"/>
      <c r="G20" s="289"/>
      <c r="H20" s="289"/>
      <c r="I20" s="289"/>
      <c r="J20" s="289"/>
      <c r="K20" s="289"/>
      <c r="M20" s="186" t="s">
        <v>46</v>
      </c>
      <c r="N20" s="290"/>
      <c r="O20" s="187"/>
      <c r="P20" s="188"/>
      <c r="Q20" s="187"/>
      <c r="R20" s="188"/>
      <c r="S20" s="187"/>
      <c r="T20" s="1282"/>
      <c r="U20" s="187"/>
      <c r="V20" s="188"/>
      <c r="W20" s="187"/>
      <c r="X20" s="188"/>
      <c r="Y20" s="187"/>
      <c r="Z20" s="188"/>
      <c r="AA20" s="187"/>
      <c r="AB20" s="188"/>
      <c r="AC20" s="187"/>
      <c r="AD20" s="188"/>
      <c r="AE20" s="187"/>
      <c r="AL20" s="1"/>
      <c r="AM20" s="19" t="s">
        <v>214</v>
      </c>
      <c r="AN20" s="20" t="s">
        <v>215</v>
      </c>
      <c r="AO20" s="20">
        <v>1</v>
      </c>
      <c r="AP20" s="21">
        <v>1.5</v>
      </c>
      <c r="AQ20" s="21">
        <v>4.0999999999999996</v>
      </c>
      <c r="AR20" s="21">
        <v>86</v>
      </c>
      <c r="AS20" s="21">
        <v>1.4</v>
      </c>
      <c r="AT20" s="1"/>
      <c r="AU20" s="1"/>
      <c r="AV20" s="25" t="s">
        <v>373</v>
      </c>
      <c r="AW20" s="26">
        <f>IF(AV20="CAPO III",SUMPRODUCT(BB21:BD25),IF(AZ17&lt;=BI66,BJ66,IF(AND(AZ17&gt;BI66,AZ17&lt;BI67),BJ67,IF(AZ17=BI71,BJ71,BJ72))))</f>
        <v>0</v>
      </c>
      <c r="AX20" s="1"/>
      <c r="AY20" s="1"/>
      <c r="AZ20" s="24"/>
      <c r="BA20" s="27" t="s">
        <v>34</v>
      </c>
      <c r="BB20" s="28">
        <f>IF($AZ$18&lt;BL66,1,0)</f>
        <v>0</v>
      </c>
      <c r="BC20" s="28">
        <f>IF(AZ18=BL67,1,0)</f>
        <v>0</v>
      </c>
      <c r="BD20" s="29">
        <f>IF(AZ18&gt;BL71,1,0)</f>
        <v>1</v>
      </c>
      <c r="BE20" s="1"/>
      <c r="BF20" s="1"/>
      <c r="BG20" s="1"/>
      <c r="BH20" s="1"/>
      <c r="BI20" s="1"/>
      <c r="BJ20" s="1"/>
      <c r="BK20" s="1"/>
      <c r="BL20" s="1"/>
      <c r="BM20" s="1"/>
      <c r="BN20" s="146">
        <f>+$BN$18*(1+($BL$11*(ROW(BN20)-10)))</f>
        <v>4.0500000000000008E-2</v>
      </c>
      <c r="BO20" s="14">
        <v>2</v>
      </c>
      <c r="BP20" s="147">
        <f>+$BP$17*(1+$BL$11*(ROW(BP20)-9))</f>
        <v>3.5650000000000001E-2</v>
      </c>
      <c r="BQ20" s="14">
        <v>9</v>
      </c>
      <c r="BR20" s="147">
        <f>+BR$17*(1+$BL$11*(ROW(BR20)-9))</f>
        <v>1.0818999999999999</v>
      </c>
      <c r="BS20" s="14">
        <v>9</v>
      </c>
      <c r="BT20" s="147">
        <f>+BT$17*(1+$BL$11*(ROW(BT20)-9))</f>
        <v>7.7500000000000008E-3</v>
      </c>
      <c r="BU20" s="77">
        <v>9</v>
      </c>
      <c r="BV20" s="1"/>
      <c r="BW20" s="1"/>
      <c r="BX20" s="1"/>
      <c r="BY20" s="1"/>
      <c r="BZ20" s="1"/>
      <c r="CA20" s="1"/>
      <c r="CB20" s="1"/>
      <c r="CC20" s="76" t="s">
        <v>183</v>
      </c>
      <c r="CD20" s="14">
        <v>0</v>
      </c>
      <c r="CE20" s="77" t="s">
        <v>184</v>
      </c>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c r="DZ20"/>
      <c r="EA20"/>
      <c r="EB20" s="1"/>
      <c r="ED20" s="1262" t="s">
        <v>383</v>
      </c>
      <c r="EE20" s="1266" cm="1">
        <f t="array" ref="EE20">+IFERROR(+INDEX(Simulazione!$M$16:$AE$37,8,(MATCH(_xlfn.CONCAT("ANNO"," ",Simulazione!C10),Simulazione!$M$16:$AE$16,0)+1))/INDEX(Simulazione!$M$16:$AE$37,2,(MATCH(_xlfn.CONCAT("ANNO"," ",Simulazione!C10),Simulazione!$M$16:$AE$16,0)+1)),0)</f>
        <v>0</v>
      </c>
      <c r="EU20" s="139" t="s">
        <v>143</v>
      </c>
      <c r="EV20" s="301" t="str">
        <f>+_xlfn.CONCAT("I principali indicatori economico finanziari calcolati sulla base dei dati storici forniti mostrano una scarsa solidità di impresa. In particolare, i seguenti rapporti patrimoniali ed economici evidenziano valori critici: ",IF($CP$42&lt;6,$CO$22,),"; ",IF($CR$42&lt;6,$CQ$22,),"; ",IF($CT$42&lt;6,$CS$22,),"; ",IF($CV$42&lt;6,$CU$22,))</f>
        <v>I principali indicatori economico finanziari calcolati sulla base dei dati storici forniti mostrano una scarsa solidità di impresa. In particolare, i seguenti rapporti patrimoniali ed economici evidenziano valori critici: (MEZZI PROPRI + DEB a M/L ) / Immobilizzazioni; MEZZI PROPRI 
/ TOT PASSIVO; INDEB.TO FIN NETTO
/ MOL; MOL / VAL. PROD</v>
      </c>
      <c r="EW20" s="1644"/>
      <c r="EX20" s="137" t="str">
        <f>+IF($CW$42=5,"X","")</f>
        <v/>
      </c>
      <c r="EY20" s="138" t="str">
        <f>+IF(EX20="x",5,"")</f>
        <v/>
      </c>
      <c r="EZ20" s="1646"/>
    </row>
    <row r="21" spans="2:156" ht="41.25" customHeight="1" x14ac:dyDescent="0.35">
      <c r="B21" s="192" t="s">
        <v>47</v>
      </c>
      <c r="C21" s="288"/>
      <c r="D21" s="289"/>
      <c r="E21" s="289"/>
      <c r="F21" s="1283"/>
      <c r="G21" s="289"/>
      <c r="H21" s="289"/>
      <c r="I21" s="289"/>
      <c r="J21" s="289"/>
      <c r="K21" s="289"/>
      <c r="M21" s="193" t="s">
        <v>48</v>
      </c>
      <c r="N21" s="194">
        <f>+N22+N23+N24+N25+N26+N27+N28+N29</f>
        <v>0</v>
      </c>
      <c r="O21" s="195">
        <f t="shared" ref="O21:AE21" si="7">+O22+O23+O24+O25+O26+O27+O28+O29</f>
        <v>0</v>
      </c>
      <c r="P21" s="196">
        <f t="shared" si="7"/>
        <v>0</v>
      </c>
      <c r="Q21" s="195">
        <f t="shared" si="7"/>
        <v>0</v>
      </c>
      <c r="R21" s="196">
        <f t="shared" si="7"/>
        <v>0</v>
      </c>
      <c r="S21" s="195">
        <f t="shared" si="7"/>
        <v>0</v>
      </c>
      <c r="T21" s="196">
        <f t="shared" si="7"/>
        <v>0</v>
      </c>
      <c r="U21" s="195">
        <f t="shared" si="7"/>
        <v>0</v>
      </c>
      <c r="V21" s="196">
        <f t="shared" si="7"/>
        <v>0</v>
      </c>
      <c r="W21" s="195">
        <f t="shared" si="7"/>
        <v>0</v>
      </c>
      <c r="X21" s="196">
        <f t="shared" si="7"/>
        <v>0</v>
      </c>
      <c r="Y21" s="195">
        <f t="shared" si="7"/>
        <v>0</v>
      </c>
      <c r="Z21" s="196">
        <f t="shared" si="7"/>
        <v>0</v>
      </c>
      <c r="AA21" s="195">
        <f t="shared" si="7"/>
        <v>0</v>
      </c>
      <c r="AB21" s="196">
        <f t="shared" si="7"/>
        <v>0</v>
      </c>
      <c r="AC21" s="195">
        <f t="shared" si="7"/>
        <v>0</v>
      </c>
      <c r="AD21" s="196">
        <f t="shared" si="7"/>
        <v>0</v>
      </c>
      <c r="AE21" s="195">
        <f t="shared" si="7"/>
        <v>0</v>
      </c>
      <c r="AL21" s="1"/>
      <c r="AM21" s="11" t="s">
        <v>216</v>
      </c>
      <c r="AN21" s="12" t="s">
        <v>217</v>
      </c>
      <c r="AO21" s="12">
        <v>1</v>
      </c>
      <c r="AP21" s="13">
        <v>1.8</v>
      </c>
      <c r="AQ21" s="13">
        <v>5.2</v>
      </c>
      <c r="AR21" s="13">
        <v>95.4</v>
      </c>
      <c r="AS21" s="13">
        <v>1.7</v>
      </c>
      <c r="AT21" s="1"/>
      <c r="AU21" s="1"/>
      <c r="AV21" s="1"/>
      <c r="AW21" s="22"/>
      <c r="AX21" s="1"/>
      <c r="AY21" s="1"/>
      <c r="AZ21" s="1"/>
      <c r="BA21" s="28">
        <f>IF($AZ$17&lt;BM66,1,0)</f>
        <v>0</v>
      </c>
      <c r="BB21" s="1">
        <f>BX66*BB20*$BA$21</f>
        <v>0</v>
      </c>
      <c r="BC21" s="1">
        <f>BY66*BC20*$BA$21</f>
        <v>0</v>
      </c>
      <c r="BD21" s="1">
        <f>CA66*BD20*$BA$21</f>
        <v>0</v>
      </c>
      <c r="BE21" s="1"/>
      <c r="BF21" s="1"/>
      <c r="BG21" s="1" t="s">
        <v>183</v>
      </c>
      <c r="BH21" s="1"/>
      <c r="BI21" s="1"/>
      <c r="BJ21" s="1"/>
      <c r="BK21" s="1"/>
      <c r="BL21" s="1"/>
      <c r="BM21" s="1"/>
      <c r="BN21" s="151">
        <f>+$BN$18*(1+($BL$11*(ROW(BN21)-10)))</f>
        <v>4.1850000000000005E-2</v>
      </c>
      <c r="BO21" s="79">
        <v>1</v>
      </c>
      <c r="BP21" s="152">
        <f>+$BP$17*(1+$BL$11*(ROW(BP21)-9))</f>
        <v>3.6799999999999999E-2</v>
      </c>
      <c r="BQ21" s="79">
        <v>10</v>
      </c>
      <c r="BR21" s="152">
        <f>+BR$17*(1+$BL$11*(ROW(BR21)-9))</f>
        <v>1.1168</v>
      </c>
      <c r="BS21" s="79">
        <v>10</v>
      </c>
      <c r="BT21" s="152">
        <f>+BT$17*(1+$BL$11*(ROW(BT21)-9))</f>
        <v>8.0000000000000002E-3</v>
      </c>
      <c r="BU21" s="80">
        <v>10</v>
      </c>
      <c r="BV21" s="1"/>
      <c r="BW21" s="1"/>
      <c r="BX21" s="1"/>
      <c r="BY21" s="1"/>
      <c r="BZ21" s="1"/>
      <c r="CA21" s="1"/>
      <c r="CB21" s="1"/>
      <c r="CC21" s="76">
        <v>4</v>
      </c>
      <c r="CD21" s="14">
        <v>5</v>
      </c>
      <c r="CE21" s="77">
        <v>6</v>
      </c>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c r="DZ21"/>
      <c r="EA21"/>
      <c r="EB21" s="1"/>
      <c r="ED21" s="1262" t="s">
        <v>385</v>
      </c>
      <c r="EE21" s="1266" cm="1">
        <f t="array" ref="EE21">+IFERROR(+INDEX(Simulazione!$M$16:$AE$37,9,(MATCH(_xlfn.CONCAT("ANNO"," ",Simulazione!C10),Simulazione!$M$16:$AE$16,0)+1))/INDEX(Simulazione!$M$16:$AE$37,2,(MATCH(_xlfn.CONCAT("ANNO"," ",Simulazione!C10),Simulazione!$M$16:$AE$16,0)+1)),0)</f>
        <v>0</v>
      </c>
      <c r="EU21" s="136" t="s">
        <v>145</v>
      </c>
      <c r="EV21" s="301" t="str">
        <f>+_xlfn.CONCAT("I principali indicatori economico finanziari calcolati sulla base dei dati storici forniti mostrano un'insufficiente solidità di impresa. In particolare, i seguenti rapporti patrimoniali ed economici evidenziano valori critici: ",IF($CP$42&lt;6,$CO$22,),"; ",IF($CR$42&lt;6,$CQ$22,),"; ",IF($CT$42&lt;6,$CS$22,),"; ",IF($CV$42&lt;6,$CU$22,))</f>
        <v>I principali indicatori economico finanziari calcolati sulla base dei dati storici forniti mostrano un'insufficiente solidità di impresa. In particolare, i seguenti rapporti patrimoniali ed economici evidenziano valori critici: (MEZZI PROPRI + DEB a M/L ) / Immobilizzazioni; MEZZI PROPRI 
/ TOT PASSIVO; INDEB.TO FIN NETTO
/ MOL; MOL / VAL. PROD</v>
      </c>
      <c r="EW21" s="1644"/>
      <c r="EX21" s="137" t="str">
        <f>+IF($CW$42=4,"X","")</f>
        <v/>
      </c>
      <c r="EY21" s="138" t="str">
        <f>+IF(EX21="x",4,"")</f>
        <v/>
      </c>
      <c r="EZ21" s="1646"/>
    </row>
    <row r="22" spans="2:156" ht="33" customHeight="1" thickBot="1" x14ac:dyDescent="0.4">
      <c r="B22" s="192" t="s">
        <v>49</v>
      </c>
      <c r="C22" s="288"/>
      <c r="D22" s="289"/>
      <c r="E22" s="1284"/>
      <c r="F22" s="1283"/>
      <c r="G22" s="289"/>
      <c r="H22" s="289"/>
      <c r="I22" s="289"/>
      <c r="J22" s="289"/>
      <c r="K22" s="289"/>
      <c r="M22" s="192" t="s">
        <v>50</v>
      </c>
      <c r="N22" s="290"/>
      <c r="O22" s="187"/>
      <c r="P22" s="188"/>
      <c r="Q22" s="187"/>
      <c r="R22" s="188"/>
      <c r="S22" s="187"/>
      <c r="T22" s="1282"/>
      <c r="U22" s="187"/>
      <c r="V22" s="188"/>
      <c r="W22" s="187"/>
      <c r="X22" s="188"/>
      <c r="Y22" s="187"/>
      <c r="Z22" s="188"/>
      <c r="AA22" s="187"/>
      <c r="AB22" s="188"/>
      <c r="AC22" s="187"/>
      <c r="AD22" s="188"/>
      <c r="AE22" s="187"/>
      <c r="AL22" s="1"/>
      <c r="AM22" s="19" t="s">
        <v>218</v>
      </c>
      <c r="AN22" s="20" t="s">
        <v>219</v>
      </c>
      <c r="AO22" s="20">
        <v>1</v>
      </c>
      <c r="AP22" s="21">
        <v>2.7</v>
      </c>
      <c r="AQ22" s="21">
        <v>2.2999999999999998</v>
      </c>
      <c r="AR22" s="21">
        <v>69.8</v>
      </c>
      <c r="AS22" s="21">
        <v>0.5</v>
      </c>
      <c r="AT22" s="1"/>
      <c r="AU22" s="1"/>
      <c r="AV22" s="1"/>
      <c r="AW22" s="1"/>
      <c r="AX22" s="1"/>
      <c r="AY22" s="1"/>
      <c r="AZ22" s="15" t="s">
        <v>398</v>
      </c>
      <c r="BA22" s="28">
        <f>IF(AZ17=BM67,1,0)</f>
        <v>0</v>
      </c>
      <c r="BB22" s="1">
        <f>BX67*BB20*$BA$22</f>
        <v>0</v>
      </c>
      <c r="BC22" s="1">
        <f>BY67*BC20*$BA$22</f>
        <v>0</v>
      </c>
      <c r="BD22" s="1">
        <f>CA67*BD20*$BA$22</f>
        <v>0</v>
      </c>
      <c r="BE22" s="1"/>
      <c r="BF22" s="1"/>
      <c r="BG22" s="1" t="s">
        <v>183</v>
      </c>
      <c r="BH22" s="1"/>
      <c r="BI22" s="1"/>
      <c r="BJ22" s="1"/>
      <c r="BK22" s="1"/>
      <c r="BL22" s="1"/>
      <c r="BM22" s="1"/>
      <c r="BN22" s="1"/>
      <c r="BO22" s="1"/>
      <c r="BP22" s="1"/>
      <c r="BQ22" s="1"/>
      <c r="BR22" s="1"/>
      <c r="BS22" s="1"/>
      <c r="BT22" s="1"/>
      <c r="BU22" s="1"/>
      <c r="BV22" s="1"/>
      <c r="BW22" s="1"/>
      <c r="BX22" s="1"/>
      <c r="BY22" s="1"/>
      <c r="BZ22" s="1"/>
      <c r="CA22" s="1"/>
      <c r="CB22" s="1"/>
      <c r="CC22" s="81"/>
      <c r="CD22" s="24" t="e">
        <f>(INDEX(Simulazione!B13:K49,37,(MATCH("anno T-1",Simulazione!B13:K13,0))))</f>
        <v>#N/A</v>
      </c>
      <c r="CE22" s="68"/>
      <c r="CF22" s="1"/>
      <c r="CG22" s="1"/>
      <c r="CH22" s="1"/>
      <c r="CI22" s="1"/>
      <c r="CJ22" s="1"/>
      <c r="CK22" s="1"/>
      <c r="CL22" s="1"/>
      <c r="CM22" s="1"/>
      <c r="CN22" s="101" t="s">
        <v>34</v>
      </c>
      <c r="CO22" s="1657" t="s">
        <v>399</v>
      </c>
      <c r="CP22" s="1657"/>
      <c r="CQ22" s="1657" t="s">
        <v>221</v>
      </c>
      <c r="CR22" s="1657"/>
      <c r="CS22" s="1657" t="s">
        <v>222</v>
      </c>
      <c r="CT22" s="1657"/>
      <c r="CU22" s="145" t="s">
        <v>223</v>
      </c>
      <c r="CV22" s="153"/>
      <c r="CW22" s="1"/>
      <c r="CX22" s="1"/>
      <c r="CY22" s="154" t="s">
        <v>224</v>
      </c>
      <c r="CZ22" s="1655" t="s">
        <v>223</v>
      </c>
      <c r="DA22" s="1656"/>
      <c r="DB22" s="1"/>
      <c r="DC22" s="1"/>
      <c r="DD22" s="1"/>
      <c r="DE22" s="244" t="s">
        <v>229</v>
      </c>
      <c r="DF22" s="1"/>
      <c r="DG22" s="1"/>
      <c r="DH22" s="1"/>
      <c r="DI22" s="1"/>
      <c r="DJ22" s="1"/>
      <c r="DK22" s="1"/>
      <c r="DL22" s="1"/>
      <c r="DM22" s="1"/>
      <c r="DO22" s="1"/>
      <c r="DP22" s="1"/>
      <c r="DQ22" s="1"/>
      <c r="DR22" s="1"/>
      <c r="DS22" s="1"/>
      <c r="DT22" s="1"/>
      <c r="DU22" s="1"/>
      <c r="DV22" s="1"/>
      <c r="DW22" s="1"/>
      <c r="DX22" s="1"/>
      <c r="DY22" s="1"/>
      <c r="DZ22" s="1"/>
      <c r="EA22" s="1"/>
      <c r="EB22" s="1"/>
      <c r="ED22" s="1262" t="s">
        <v>387</v>
      </c>
      <c r="EE22" s="1266" cm="1">
        <f t="array" ref="EE22">+IFERROR(+INDEX(Simulazione!$M$16:$AE$37,10,(MATCH(_xlfn.CONCAT("ANNO"," ",Simulazione!C10),Simulazione!$M$16:$AE$16,0)+1))/INDEX(Simulazione!$M$16:$AE$37,2,(MATCH(_xlfn.CONCAT("ANNO"," ",Simulazione!C10),Simulazione!$M$16:$AE$16,0)+1)),0)</f>
        <v>0</v>
      </c>
      <c r="EU22" s="140" t="s">
        <v>151</v>
      </c>
      <c r="EV22" s="301" t="str">
        <f>+_xlfn.CONCAT("I principali indicatori economico finanziari calcolati sulla base dei dati storici forniti mostrano una grave mancanza di solidità di impresa. In particolare, i seguenti rapporti patrimoniali ed economici evidenziano valori critici: ",IF($CP$42&lt;6,$CO$22,),"; ",IF($CR$42&lt;6,$CQ$22,),"; ",IF($CT$42&lt;6,$CS$22,),"; ",IF($CV$42&lt;6,$CU$22,))</f>
        <v>I principali indicatori economico finanziari calcolati sulla base dei dati storici forniti mostrano una grave mancanza di solidità di impresa. In particolare, i seguenti rapporti patrimoniali ed economici evidenziano valori critici: (MEZZI PROPRI + DEB a M/L ) / Immobilizzazioni; MEZZI PROPRI 
/ TOT PASSIVO; INDEB.TO FIN NETTO
/ MOL; MOL / VAL. PROD</v>
      </c>
      <c r="EW22" s="1645"/>
      <c r="EX22" s="137" t="str">
        <f>+IF($CW$42&lt;=3,"X","")</f>
        <v>X</v>
      </c>
      <c r="EY22" s="138">
        <f>+IF(EX22="x",3,"")</f>
        <v>3</v>
      </c>
      <c r="EZ22" s="1647"/>
    </row>
    <row r="23" spans="2:156" ht="25" customHeight="1" thickBot="1" x14ac:dyDescent="0.4">
      <c r="B23" s="192" t="s">
        <v>51</v>
      </c>
      <c r="C23" s="288"/>
      <c r="D23" s="289"/>
      <c r="E23" s="289"/>
      <c r="F23" s="289"/>
      <c r="G23" s="289"/>
      <c r="H23" s="289"/>
      <c r="I23" s="289"/>
      <c r="J23" s="289"/>
      <c r="K23" s="289"/>
      <c r="M23" s="192" t="s">
        <v>52</v>
      </c>
      <c r="N23" s="290"/>
      <c r="O23" s="187"/>
      <c r="P23" s="188"/>
      <c r="Q23" s="187"/>
      <c r="R23" s="188"/>
      <c r="S23" s="187"/>
      <c r="T23" s="1282"/>
      <c r="U23" s="187"/>
      <c r="V23" s="188"/>
      <c r="W23" s="187"/>
      <c r="X23" s="188"/>
      <c r="Y23" s="187"/>
      <c r="Z23" s="188"/>
      <c r="AA23" s="187"/>
      <c r="AB23" s="188"/>
      <c r="AC23" s="187"/>
      <c r="AD23" s="188"/>
      <c r="AE23" s="187"/>
      <c r="AL23" s="1"/>
      <c r="AM23" s="30" t="s">
        <v>225</v>
      </c>
      <c r="AN23" s="31" t="s">
        <v>219</v>
      </c>
      <c r="AO23" s="32">
        <f>VLOOKUP($AN$23,$AN$13:$AS$22,2,FALSE)</f>
        <v>1</v>
      </c>
      <c r="AP23" s="62">
        <f>(VLOOKUP($AN$23,$AN$13:$AS$22,3,FALSE))/100</f>
        <v>2.7000000000000003E-2</v>
      </c>
      <c r="AQ23" s="62">
        <f>VLOOKUP($AN$23,$AN$13:$AS$22,4,FALSE)/100</f>
        <v>2.3E-2</v>
      </c>
      <c r="AR23" s="62">
        <f>VLOOKUP($AN$23,$AN$13:$AS$22,5,FALSE)/100</f>
        <v>0.69799999999999995</v>
      </c>
      <c r="AS23" s="62">
        <f>VLOOKUP($AN$23,$AN$13:$AS$22,6,FALSE)/100</f>
        <v>5.0000000000000001E-3</v>
      </c>
      <c r="AT23" s="1"/>
      <c r="AU23" s="1"/>
      <c r="AV23" s="1"/>
      <c r="AW23" s="1"/>
      <c r="AX23" s="1"/>
      <c r="AY23" s="1"/>
      <c r="AZ23" s="1"/>
      <c r="BA23" s="28">
        <f>IF(AND($AZ$17&gt;BM67,$AZ$17&lt;=BM71),1,0)</f>
        <v>0</v>
      </c>
      <c r="BB23" s="1">
        <f>BX71*BB20*$BA$23</f>
        <v>0</v>
      </c>
      <c r="BC23" s="1">
        <f>BY71*BC20*$BA$23</f>
        <v>0</v>
      </c>
      <c r="BD23" s="1">
        <f>CA71*BD20*$BA$23</f>
        <v>0</v>
      </c>
      <c r="BE23" s="1"/>
      <c r="BF23" s="1"/>
      <c r="BG23" s="1" t="s">
        <v>400</v>
      </c>
      <c r="BH23" s="1"/>
      <c r="BI23" s="1"/>
      <c r="BJ23" s="1"/>
      <c r="BK23" s="1"/>
      <c r="BL23" s="1"/>
      <c r="BM23" s="1"/>
      <c r="BN23" s="1"/>
      <c r="BO23" s="1"/>
      <c r="BP23" s="1"/>
      <c r="BQ23" s="1"/>
      <c r="BR23" s="1"/>
      <c r="BS23" s="1"/>
      <c r="BT23" s="1"/>
      <c r="BU23" s="1"/>
      <c r="BV23" s="1"/>
      <c r="BW23" s="1"/>
      <c r="BX23" s="1"/>
      <c r="BY23" s="1"/>
      <c r="BZ23" s="1"/>
      <c r="CA23" s="1"/>
      <c r="CB23" s="1"/>
      <c r="CC23" s="82"/>
      <c r="CD23" s="97" t="str">
        <f>IFERROR(IF(CD22&gt;CD20,CE21,IF(CD22=CD20,CD21,CC21)),"N.D.")</f>
        <v>N.D.</v>
      </c>
      <c r="CE23" s="83"/>
      <c r="CF23" s="1"/>
      <c r="CG23" s="1"/>
      <c r="CH23" s="1"/>
      <c r="CI23" s="1"/>
      <c r="CJ23" s="1"/>
      <c r="CK23" s="1"/>
      <c r="CL23" s="1"/>
      <c r="CM23" s="1"/>
      <c r="CN23" s="81"/>
      <c r="CO23" s="15" t="s">
        <v>226</v>
      </c>
      <c r="CP23" s="14" t="s">
        <v>227</v>
      </c>
      <c r="CQ23" s="14" t="s">
        <v>228</v>
      </c>
      <c r="CR23" s="14" t="s">
        <v>227</v>
      </c>
      <c r="CS23" s="14" t="s">
        <v>228</v>
      </c>
      <c r="CT23" s="14" t="s">
        <v>227</v>
      </c>
      <c r="CU23" s="14" t="s">
        <v>228</v>
      </c>
      <c r="CV23" s="77" t="s">
        <v>227</v>
      </c>
      <c r="CW23" s="1"/>
      <c r="CX23" s="1"/>
      <c r="CY23" s="76"/>
      <c r="CZ23" s="14" t="s">
        <v>228</v>
      </c>
      <c r="DA23" s="77" t="s">
        <v>227</v>
      </c>
      <c r="DB23" s="1"/>
      <c r="DC23" s="1"/>
      <c r="DD23" s="1"/>
      <c r="DE23" s="239" t="s">
        <v>227</v>
      </c>
      <c r="DF23" s="240" t="s">
        <v>230</v>
      </c>
      <c r="DG23" s="74" t="s">
        <v>231</v>
      </c>
      <c r="DH23" s="66"/>
      <c r="DI23" s="1"/>
      <c r="DJ23" s="1"/>
      <c r="DK23" s="1"/>
      <c r="DL23" s="1"/>
      <c r="DM23" s="1"/>
      <c r="DN23" s="311" t="s">
        <v>401</v>
      </c>
      <c r="DO23" s="311" t="s">
        <v>402</v>
      </c>
      <c r="DP23" s="312" t="s">
        <v>403</v>
      </c>
      <c r="DQ23" s="312" t="s">
        <v>227</v>
      </c>
      <c r="DR23" s="312" t="s">
        <v>404</v>
      </c>
      <c r="DS23" s="1"/>
      <c r="DT23" s="1"/>
      <c r="DU23" s="1"/>
      <c r="DV23" s="1"/>
      <c r="DW23" s="1"/>
      <c r="DX23" s="1"/>
      <c r="DY23" s="1"/>
      <c r="DZ23" s="1"/>
      <c r="EA23" s="1"/>
      <c r="EB23" s="1"/>
      <c r="EU23" s="111" t="s">
        <v>134</v>
      </c>
      <c r="EV23" s="1648" t="s">
        <v>152</v>
      </c>
      <c r="EW23" s="1648"/>
      <c r="EX23" s="1648"/>
      <c r="EY23" s="1648"/>
      <c r="EZ23" s="1649"/>
    </row>
    <row r="24" spans="2:156" ht="61" customHeight="1" x14ac:dyDescent="0.35">
      <c r="B24" s="192" t="s">
        <v>53</v>
      </c>
      <c r="C24" s="288"/>
      <c r="D24" s="289"/>
      <c r="E24" s="289"/>
      <c r="F24" s="289"/>
      <c r="G24" s="289"/>
      <c r="H24" s="289"/>
      <c r="I24" s="289"/>
      <c r="J24" s="289"/>
      <c r="K24" s="289"/>
      <c r="M24" s="192" t="s">
        <v>54</v>
      </c>
      <c r="N24" s="290"/>
      <c r="O24" s="187"/>
      <c r="P24" s="188"/>
      <c r="Q24" s="187"/>
      <c r="R24" s="188"/>
      <c r="S24" s="187"/>
      <c r="T24" s="1282"/>
      <c r="U24" s="187"/>
      <c r="V24" s="188"/>
      <c r="W24" s="187"/>
      <c r="X24" s="188"/>
      <c r="Y24" s="187"/>
      <c r="Z24" s="188"/>
      <c r="AA24" s="187"/>
      <c r="AB24" s="188"/>
      <c r="AC24" s="187"/>
      <c r="AD24" s="188"/>
      <c r="AE24" s="187"/>
      <c r="AL24" s="1"/>
      <c r="AM24" s="33"/>
      <c r="AN24" s="1"/>
      <c r="AO24" s="1"/>
      <c r="AP24" s="1"/>
      <c r="AQ24" s="1"/>
      <c r="AR24" s="1"/>
      <c r="AS24" s="1"/>
      <c r="AT24" s="1"/>
      <c r="AU24" s="1"/>
      <c r="AV24" s="1"/>
      <c r="AW24" s="1"/>
      <c r="AX24" s="1"/>
      <c r="AY24" s="1"/>
      <c r="AZ24" s="1"/>
      <c r="BA24" s="28">
        <f>IF(AND($AZ$17&gt;BM71,$AZ$17&lt;=BM72),1,0)</f>
        <v>0</v>
      </c>
      <c r="BB24" s="1">
        <f>BX72*BB20*$BA$24</f>
        <v>0</v>
      </c>
      <c r="BC24" s="1">
        <f>BY72*BC20*$BA$24</f>
        <v>0</v>
      </c>
      <c r="BD24" s="1">
        <f>CA72*BD20*$BA$24</f>
        <v>0</v>
      </c>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81"/>
      <c r="CO24" s="14">
        <v>0</v>
      </c>
      <c r="CP24" s="14">
        <v>1</v>
      </c>
      <c r="CQ24" s="14"/>
      <c r="CR24" s="14">
        <v>1</v>
      </c>
      <c r="CS24" s="14"/>
      <c r="CT24" s="14">
        <v>10</v>
      </c>
      <c r="CU24" s="14"/>
      <c r="CV24" s="77">
        <v>1</v>
      </c>
      <c r="CW24" s="1"/>
      <c r="CX24" s="1"/>
      <c r="CY24" s="76"/>
      <c r="CZ24" s="14"/>
      <c r="DA24" s="77">
        <v>1</v>
      </c>
      <c r="DB24" s="1"/>
      <c r="DC24" s="1"/>
      <c r="DD24" s="1"/>
      <c r="DE24" s="241">
        <v>10</v>
      </c>
      <c r="DF24" t="b">
        <f>Simulazione!AB51+Simulazione!AB52+Simulazione!AB60&gt;=Simulazione!AB48</f>
        <v>1</v>
      </c>
      <c r="DG24">
        <v>1</v>
      </c>
      <c r="DH24" s="68">
        <f>+DF24*DG24</f>
        <v>1</v>
      </c>
      <c r="DI24" s="1"/>
      <c r="DJ24" s="1"/>
      <c r="DK24" s="1"/>
      <c r="DL24" s="1"/>
      <c r="DM24" s="1"/>
      <c r="DN24" s="312" t="s">
        <v>405</v>
      </c>
      <c r="DO24" s="311" t="s">
        <v>382</v>
      </c>
      <c r="DP24" s="312" t="s">
        <v>406</v>
      </c>
      <c r="DQ24" s="312">
        <f>IF(DS19=1,DS12,DR12)</f>
        <v>10</v>
      </c>
      <c r="DR24" s="312">
        <v>10</v>
      </c>
      <c r="DS24" s="1"/>
      <c r="DT24" s="1"/>
      <c r="DU24" s="1"/>
      <c r="DV24" s="1"/>
      <c r="DW24" s="1"/>
      <c r="DX24" s="1"/>
      <c r="DY24" s="1"/>
      <c r="DZ24" s="1"/>
      <c r="EA24" s="1"/>
      <c r="EB24" s="1"/>
      <c r="EU24" s="112" t="s">
        <v>136</v>
      </c>
      <c r="EV24" s="302" t="e">
        <f>IF('Dati riepilogativi'!$B$2="Capo II","La capacità restitutoria stimata del progetto espressa dal rapporto tra il MOL e il valore complessivo degli oneri finanziari è maggiore di 1,2",_xlfn.CONCAT("La capacità restitutoria, espressa dal rapporto tra il MOL e il valore complessivo degli oneri finanziari, è pari a ",ROUND($AZ$17,1)," per l'impresa nel suo complesso e pari a ",ROUND($AZ$18,1)," per il progetto presentato a finanziamento"))</f>
        <v>#VALUE!</v>
      </c>
      <c r="EW24" s="1650"/>
      <c r="EX24" s="114" t="str">
        <f>+IF(OR(AND('Dati riepilogativi'!$B$2="Capo III",$DK$15&gt;=9),AND('Dati riepilogativi'!$B$2="Capo II",$CM$15&gt;=9)),"x","")</f>
        <v>x</v>
      </c>
      <c r="EY24" s="115">
        <f>+IF(EX24="x",10,"")</f>
        <v>10</v>
      </c>
      <c r="EZ24" s="1652"/>
    </row>
    <row r="25" spans="2:156" ht="49.5" customHeight="1" x14ac:dyDescent="0.35">
      <c r="B25" s="192" t="s">
        <v>55</v>
      </c>
      <c r="C25" s="288"/>
      <c r="D25" s="289"/>
      <c r="E25" s="289"/>
      <c r="F25" s="289"/>
      <c r="G25" s="289"/>
      <c r="H25" s="289"/>
      <c r="I25" s="289"/>
      <c r="J25" s="289"/>
      <c r="K25" s="289"/>
      <c r="M25" s="192" t="s">
        <v>56</v>
      </c>
      <c r="N25" s="290"/>
      <c r="O25" s="187"/>
      <c r="P25" s="188"/>
      <c r="Q25" s="187"/>
      <c r="R25" s="188"/>
      <c r="S25" s="187"/>
      <c r="T25" s="1282"/>
      <c r="U25" s="187"/>
      <c r="V25" s="188"/>
      <c r="W25" s="187"/>
      <c r="X25" s="188"/>
      <c r="Y25" s="187"/>
      <c r="Z25" s="188"/>
      <c r="AA25" s="187"/>
      <c r="AB25" s="188"/>
      <c r="AC25" s="187"/>
      <c r="AD25" s="188"/>
      <c r="AE25" s="187"/>
      <c r="AL25" s="1"/>
      <c r="AM25" s="34"/>
      <c r="AN25" s="1"/>
      <c r="AO25" s="1"/>
      <c r="AP25" s="1"/>
      <c r="AQ25" s="1"/>
      <c r="AR25" s="1"/>
      <c r="AS25" s="1"/>
      <c r="AT25" s="1"/>
      <c r="AU25" s="1"/>
      <c r="AV25" s="1"/>
      <c r="AW25" s="1"/>
      <c r="AX25" s="1"/>
      <c r="AY25" s="1"/>
      <c r="AZ25" s="1"/>
      <c r="BA25" s="28">
        <f>IF(AZ17&gt;BM73,1,0)</f>
        <v>1</v>
      </c>
      <c r="BB25" s="1">
        <f>BX73*BB20*$BA$25</f>
        <v>0</v>
      </c>
      <c r="BC25" s="1">
        <f>BY73*BC20*$BA$25</f>
        <v>0</v>
      </c>
      <c r="BD25" s="1">
        <f>CA73*BD20*$BA$25</f>
        <v>0</v>
      </c>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81"/>
      <c r="CO25" s="14">
        <v>0.1</v>
      </c>
      <c r="CP25" s="14">
        <v>2</v>
      </c>
      <c r="CQ25" s="14">
        <v>-0.03</v>
      </c>
      <c r="CR25" s="14">
        <v>2</v>
      </c>
      <c r="CS25" s="14">
        <v>0</v>
      </c>
      <c r="CT25" s="14">
        <v>9</v>
      </c>
      <c r="CU25" s="14">
        <v>-0.03</v>
      </c>
      <c r="CV25" s="77">
        <v>2</v>
      </c>
      <c r="CW25" s="1"/>
      <c r="CX25" s="1"/>
      <c r="CY25" s="76"/>
      <c r="CZ25" s="14">
        <v>-0.03</v>
      </c>
      <c r="DA25" s="77">
        <v>2</v>
      </c>
      <c r="DB25" s="1"/>
      <c r="DC25" s="1"/>
      <c r="DD25" s="1"/>
      <c r="DE25" s="241">
        <v>9</v>
      </c>
      <c r="DF25" t="b">
        <f>AB51+AB52&gt;=(AB48-AB60)*0.6</f>
        <v>1</v>
      </c>
      <c r="DG25" t="b">
        <f ca="1">AB63+IF(O60&gt;=AB48*0.3,AB48*0.3,O60)&gt;=AB48</f>
        <v>1</v>
      </c>
      <c r="DH25" s="68">
        <f t="shared" ref="DH25:DH29" ca="1" si="8">+DF25*DG25</f>
        <v>1</v>
      </c>
      <c r="DI25" s="1"/>
      <c r="DJ25" s="1"/>
      <c r="DK25" s="1"/>
      <c r="DL25" s="1"/>
      <c r="DM25" s="1"/>
      <c r="DN25" s="312" t="s">
        <v>185</v>
      </c>
      <c r="DO25" s="311" t="s">
        <v>407</v>
      </c>
      <c r="DP25" s="312" t="s">
        <v>408</v>
      </c>
      <c r="DQ25" s="312" t="str">
        <f>IF(DS19=1,"N.D",IF(DQ19=1,DQ13,"N.D."))</f>
        <v>N.D</v>
      </c>
      <c r="DR25" s="312">
        <v>10</v>
      </c>
      <c r="DS25" s="1"/>
      <c r="DT25" s="1"/>
      <c r="DU25" s="1"/>
      <c r="DV25" s="1"/>
      <c r="DW25" s="1"/>
      <c r="DX25" s="1"/>
      <c r="DY25" s="1"/>
      <c r="DZ25" s="1"/>
      <c r="EA25" s="1"/>
      <c r="EB25" s="1"/>
      <c r="EU25" s="116" t="s">
        <v>138</v>
      </c>
      <c r="EV25" s="302" t="e">
        <f>+IF('Dati riepilogativi'!$B$2="Capo II","La capacità restitutoria stimata,espressa dal rapporto tra il MOL e il valore complessivo degli oneri finanziari, è compresa tra 1,1 e 1,2.",_xlfn.CONCAT("La capacità restitutoria, espressa dal rapporto tra il MOL e il valore complessivo degli oneri finanziari, è pari a ",ROUND($AZ$17,1)," per l'impresa nel suo complesso e pari a ",ROUND($AZ$18,1)," per il progetto presentato a finanziamento"))</f>
        <v>#VALUE!</v>
      </c>
      <c r="EW25" s="1650"/>
      <c r="EX25" s="114" t="str">
        <f>+IF(OR(AND('Dati riepilogativi'!$B$2="Capo III",$DK$15=8),AND('Dati riepilogativi'!$B$2="Capo II",$CM$15=8)),"x","")</f>
        <v/>
      </c>
      <c r="EY25" s="115" t="str">
        <f>+IF(EX25="x",8,"")</f>
        <v/>
      </c>
      <c r="EZ25" s="1652"/>
    </row>
    <row r="26" spans="2:156" ht="45" customHeight="1" x14ac:dyDescent="0.35">
      <c r="B26" s="192" t="s">
        <v>57</v>
      </c>
      <c r="C26" s="288"/>
      <c r="D26" s="289"/>
      <c r="E26" s="289"/>
      <c r="F26" s="289"/>
      <c r="G26" s="289"/>
      <c r="H26" s="289"/>
      <c r="I26" s="289"/>
      <c r="J26" s="289"/>
      <c r="K26" s="289"/>
      <c r="M26" s="192" t="s">
        <v>58</v>
      </c>
      <c r="N26" s="290"/>
      <c r="O26" s="187"/>
      <c r="P26" s="188"/>
      <c r="Q26" s="187"/>
      <c r="R26" s="188"/>
      <c r="S26" s="187"/>
      <c r="T26" s="1282"/>
      <c r="U26" s="187"/>
      <c r="V26" s="188"/>
      <c r="W26" s="187"/>
      <c r="X26" s="188"/>
      <c r="Y26" s="187"/>
      <c r="Z26" s="188"/>
      <c r="AA26" s="187"/>
      <c r="AB26" s="188"/>
      <c r="AC26" s="187"/>
      <c r="AD26" s="188"/>
      <c r="AE26" s="187"/>
      <c r="AL26" s="1"/>
      <c r="AM26" s="35"/>
      <c r="AN26" s="1"/>
      <c r="AO26" s="1"/>
      <c r="AP26" s="1"/>
      <c r="AQ26" s="1"/>
      <c r="AR26" s="1"/>
      <c r="AS26" s="1"/>
      <c r="AT26" s="1"/>
      <c r="AU26" s="1"/>
      <c r="AV26" s="1"/>
      <c r="AW26" s="1"/>
      <c r="AX26" s="1"/>
      <c r="AY26" s="1"/>
      <c r="AZ26" s="1"/>
      <c r="BA26" s="1"/>
      <c r="BB26" s="1"/>
      <c r="BC26" s="1"/>
      <c r="BD26" s="1"/>
      <c r="BE26" s="1"/>
      <c r="BF26" s="1"/>
      <c r="BG26" s="1"/>
      <c r="BH26" s="1"/>
      <c r="BI26" s="36"/>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81"/>
      <c r="CO26" s="14">
        <v>0.3</v>
      </c>
      <c r="CP26" s="14">
        <v>3</v>
      </c>
      <c r="CQ26" s="14">
        <v>0</v>
      </c>
      <c r="CR26" s="14">
        <v>3</v>
      </c>
      <c r="CS26" s="14">
        <v>3</v>
      </c>
      <c r="CT26" s="14">
        <v>8</v>
      </c>
      <c r="CU26" s="14">
        <v>0</v>
      </c>
      <c r="CV26" s="77">
        <v>3</v>
      </c>
      <c r="CW26" s="1"/>
      <c r="CX26" s="1"/>
      <c r="CY26" s="76"/>
      <c r="CZ26" s="14">
        <v>0</v>
      </c>
      <c r="DA26" s="77">
        <v>3</v>
      </c>
      <c r="DB26" s="1"/>
      <c r="DC26" s="1"/>
      <c r="DD26" s="1"/>
      <c r="DE26" s="241">
        <v>8</v>
      </c>
      <c r="DF26" t="b">
        <f>AB51+AB52&gt;=(AB48-AB60)*0.5</f>
        <v>1</v>
      </c>
      <c r="DG26" s="264" t="b">
        <f ca="1">AB63-AB60+IF(P60-Z63+P47+Z45&gt;=AB48*0.2,AB48*0.2,P60-Z63+P47+Z45)&gt;=AB48</f>
        <v>1</v>
      </c>
      <c r="DH26" s="68">
        <f t="shared" ca="1" si="8"/>
        <v>1</v>
      </c>
      <c r="DI26" s="1"/>
      <c r="DJ26" s="1"/>
      <c r="DK26" s="1"/>
      <c r="DL26" s="1"/>
      <c r="DM26" s="1"/>
      <c r="DN26" s="1676" t="s">
        <v>185</v>
      </c>
      <c r="DO26" s="1675" t="s">
        <v>407</v>
      </c>
      <c r="DP26" s="312" t="s">
        <v>399</v>
      </c>
      <c r="DQ26" s="312">
        <f>IF(DS19=1,CP42,"N.D.")</f>
        <v>0</v>
      </c>
      <c r="DR26" s="312">
        <v>10</v>
      </c>
      <c r="DS26" s="1"/>
      <c r="DT26" s="1"/>
      <c r="DU26" s="1"/>
      <c r="DV26" s="1"/>
      <c r="DW26" s="1"/>
      <c r="DX26" s="1"/>
      <c r="DY26" s="1"/>
      <c r="DZ26" s="1"/>
      <c r="EA26" s="1"/>
      <c r="EB26" s="1"/>
      <c r="EU26" s="117" t="s">
        <v>139</v>
      </c>
      <c r="EV26" s="302" t="e">
        <f>+IF('Dati riepilogativi'!$B$2="Capo II","La capacità restitutoria stimata,espressa dal rapporto tra il MOL e il valore complessivo degli oneri finanziari, è compresa tra 1 e 1,1.",_xlfn.CONCAT("La capacità restitutoria, espressa dal rapporto tra il MOL e il valore complessivo degli oneri finanziari, è pari a ",ROUND($AZ$17,1)," per l'impresa nel suo complesso e pari a ",ROUND($AZ$18,1)," per il progetto presentato a finanziamento"))</f>
        <v>#VALUE!</v>
      </c>
      <c r="EW26" s="1650"/>
      <c r="EX26" s="114" t="str">
        <f>+IF(OR(AND('Dati riepilogativi'!$B$2="Capo III",$DK$15=7),AND('Dati riepilogativi'!$B$2="Capo II",$CM$15=7)),"x","")</f>
        <v/>
      </c>
      <c r="EY26" s="115" t="str">
        <f>+IF(EX26="x",7,"")</f>
        <v/>
      </c>
      <c r="EZ26" s="1652"/>
    </row>
    <row r="27" spans="2:156" ht="47.25" customHeight="1" x14ac:dyDescent="0.35">
      <c r="B27" s="186" t="s">
        <v>59</v>
      </c>
      <c r="C27" s="189">
        <f t="shared" ref="C27:K27" si="9">+SUM(C28:C32)</f>
        <v>0</v>
      </c>
      <c r="D27" s="190">
        <f t="shared" si="9"/>
        <v>0</v>
      </c>
      <c r="E27" s="190">
        <f t="shared" si="9"/>
        <v>0</v>
      </c>
      <c r="F27" s="190">
        <f t="shared" si="9"/>
        <v>0</v>
      </c>
      <c r="G27" s="190">
        <f t="shared" si="9"/>
        <v>0</v>
      </c>
      <c r="H27" s="190">
        <f t="shared" si="9"/>
        <v>0</v>
      </c>
      <c r="I27" s="190">
        <f t="shared" si="9"/>
        <v>0</v>
      </c>
      <c r="J27" s="190">
        <f t="shared" si="9"/>
        <v>0</v>
      </c>
      <c r="K27" s="190">
        <f t="shared" si="9"/>
        <v>0</v>
      </c>
      <c r="M27" s="197" t="s">
        <v>60</v>
      </c>
      <c r="N27" s="290"/>
      <c r="O27" s="187"/>
      <c r="P27" s="188"/>
      <c r="Q27" s="187"/>
      <c r="R27" s="188"/>
      <c r="S27" s="187"/>
      <c r="T27" s="1282"/>
      <c r="U27" s="187"/>
      <c r="V27" s="188"/>
      <c r="W27" s="187"/>
      <c r="X27" s="188"/>
      <c r="Y27" s="187"/>
      <c r="Z27" s="188"/>
      <c r="AA27" s="187"/>
      <c r="AB27" s="188"/>
      <c r="AC27" s="187"/>
      <c r="AD27" s="188"/>
      <c r="AE27" s="187"/>
      <c r="AL27" s="1"/>
      <c r="AM27" s="1" t="s">
        <v>181</v>
      </c>
      <c r="AN27" s="1" t="s">
        <v>232</v>
      </c>
      <c r="AO27" s="1" t="s">
        <v>233</v>
      </c>
      <c r="AP27" s="1" t="s">
        <v>234</v>
      </c>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81"/>
      <c r="CO27" s="14">
        <v>0.4</v>
      </c>
      <c r="CP27" s="14">
        <v>4</v>
      </c>
      <c r="CQ27" s="14">
        <v>0.01</v>
      </c>
      <c r="CR27" s="14">
        <v>4</v>
      </c>
      <c r="CS27" s="14">
        <v>5</v>
      </c>
      <c r="CT27" s="14">
        <v>7</v>
      </c>
      <c r="CU27" s="14">
        <v>0.01</v>
      </c>
      <c r="CV27" s="77">
        <v>4</v>
      </c>
      <c r="CW27" s="1"/>
      <c r="CX27" s="1"/>
      <c r="CY27" s="76"/>
      <c r="CZ27" s="14">
        <v>0.01</v>
      </c>
      <c r="DA27" s="77">
        <v>4</v>
      </c>
      <c r="DB27" s="1"/>
      <c r="DC27" s="1"/>
      <c r="DD27" s="1"/>
      <c r="DE27" s="241">
        <v>7</v>
      </c>
      <c r="DF27" t="b">
        <f>+AB51+AB52&gt;=(AB48-AB60)*0.3</f>
        <v>1</v>
      </c>
      <c r="DG27" t="b">
        <f>AB63&gt;=AB48</f>
        <v>1</v>
      </c>
      <c r="DH27" s="68">
        <f t="shared" si="8"/>
        <v>1</v>
      </c>
      <c r="DI27" s="1"/>
      <c r="DJ27" s="1"/>
      <c r="DK27" s="1"/>
      <c r="DL27" s="1"/>
      <c r="DM27" s="1"/>
      <c r="DN27" s="1676"/>
      <c r="DO27" s="1675"/>
      <c r="DP27" s="311" t="s">
        <v>409</v>
      </c>
      <c r="DQ27" s="312">
        <f>IF(DS19=1,CP42,"N.D.")</f>
        <v>0</v>
      </c>
      <c r="DR27" s="312">
        <v>10</v>
      </c>
      <c r="DS27" s="1"/>
      <c r="DT27" s="1"/>
      <c r="DU27" s="1"/>
      <c r="DV27" s="1"/>
      <c r="DW27" s="1"/>
      <c r="DX27" s="1"/>
      <c r="DY27" s="1"/>
      <c r="DZ27" s="1"/>
      <c r="EA27" s="1"/>
      <c r="EB27" s="1"/>
      <c r="EU27" s="117">
        <v>0</v>
      </c>
      <c r="EV27" s="302" t="e">
        <f>+IF('Dati riepilogativi'!$B$2="Capo II","La capacità restitutoria stimata, espressa dal rapporto tra il MOL e il valore complessivo degli oneri finanziari, è pari ad 1.",_xlfn.CONCAT("La capacità restitutoria, espressa dal rapporto tra il MOL e il valore complessivo degli oneri finanziari, è pari a ",ROUND($AZ$17,1)," per l'impresa nel suo complesso e pari a ",ROUND($AZ$18,1)," per il progetto presentato a finanziamento"))</f>
        <v>#VALUE!</v>
      </c>
      <c r="EW27" s="1650"/>
      <c r="EX27" s="114" t="str">
        <f>+IF(OR(AND('Dati riepilogativi'!$B$2="Capo III",$DK$15=6),AND('Dati riepilogativi'!$B$2="Capo II",$CM$15=6)),"x","")</f>
        <v/>
      </c>
      <c r="EY27" s="115" t="str">
        <f>+IF(EX27="x",6,"")</f>
        <v/>
      </c>
      <c r="EZ27" s="1652"/>
    </row>
    <row r="28" spans="2:156" ht="83.25" customHeight="1" x14ac:dyDescent="0.35">
      <c r="B28" s="192" t="s">
        <v>61</v>
      </c>
      <c r="C28" s="1284"/>
      <c r="D28" s="289"/>
      <c r="E28" s="289"/>
      <c r="F28" s="1283"/>
      <c r="G28" s="289"/>
      <c r="H28" s="289"/>
      <c r="I28" s="289"/>
      <c r="J28" s="289"/>
      <c r="K28" s="289"/>
      <c r="M28" s="197" t="s">
        <v>62</v>
      </c>
      <c r="N28" s="290"/>
      <c r="O28" s="187"/>
      <c r="P28" s="188"/>
      <c r="Q28" s="187"/>
      <c r="R28" s="188"/>
      <c r="S28" s="187"/>
      <c r="T28" s="1282"/>
      <c r="U28" s="187"/>
      <c r="V28" s="188"/>
      <c r="W28" s="187"/>
      <c r="X28" s="188"/>
      <c r="Y28" s="187"/>
      <c r="Z28" s="188"/>
      <c r="AA28" s="187"/>
      <c r="AB28" s="188"/>
      <c r="AC28" s="187"/>
      <c r="AD28" s="188"/>
      <c r="AE28" s="187"/>
      <c r="AL28" s="1"/>
      <c r="AM28" s="1" t="s">
        <v>235</v>
      </c>
      <c r="AN28" s="24" t="s">
        <v>236</v>
      </c>
      <c r="AO28" s="1"/>
      <c r="AP28" s="37" t="s">
        <v>191</v>
      </c>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81"/>
      <c r="CO28" s="14">
        <v>0.5</v>
      </c>
      <c r="CP28" s="14">
        <v>5</v>
      </c>
      <c r="CQ28" s="14">
        <v>0.03</v>
      </c>
      <c r="CR28" s="14">
        <v>5</v>
      </c>
      <c r="CS28" s="14">
        <v>6</v>
      </c>
      <c r="CT28" s="14">
        <v>6</v>
      </c>
      <c r="CU28" s="14">
        <v>0.03</v>
      </c>
      <c r="CV28" s="77">
        <v>5</v>
      </c>
      <c r="CW28" s="1"/>
      <c r="CX28" s="1"/>
      <c r="CY28" s="76"/>
      <c r="CZ28" s="14">
        <v>0.03</v>
      </c>
      <c r="DA28" s="77">
        <v>5</v>
      </c>
      <c r="DB28" s="1"/>
      <c r="DC28" s="1"/>
      <c r="DD28" s="1"/>
      <c r="DE28" s="241">
        <v>6</v>
      </c>
      <c r="DF28" t="b">
        <f>AB50&gt;=(AB48-AB60)</f>
        <v>1</v>
      </c>
      <c r="DG28" t="b">
        <f>(AB54+AB52+AB51)&lt;=(AB48-AB60)*0.3</f>
        <v>1</v>
      </c>
      <c r="DH28" s="68">
        <f>+IF(AB60+AB53&gt;=AB48,0,+DF28*DG28)</f>
        <v>0</v>
      </c>
      <c r="DI28" s="1"/>
      <c r="DJ28" s="1"/>
      <c r="DK28" s="1"/>
      <c r="DL28" s="1"/>
      <c r="DM28" s="1"/>
      <c r="DN28" s="1676"/>
      <c r="DO28" s="1675"/>
      <c r="DP28" s="312" t="s">
        <v>410</v>
      </c>
      <c r="DQ28" s="312">
        <f>IF(DS19=1,CP42,"N.D.")</f>
        <v>0</v>
      </c>
      <c r="DR28" s="312">
        <v>10</v>
      </c>
      <c r="DS28" s="1"/>
      <c r="DT28" s="1"/>
      <c r="DU28" s="1"/>
      <c r="DV28" s="1"/>
      <c r="DW28" s="1"/>
      <c r="DX28" s="1"/>
      <c r="DY28" s="1"/>
      <c r="DZ28" s="1"/>
      <c r="EA28" s="1"/>
      <c r="EB28" s="1"/>
      <c r="EU28" s="116" t="s">
        <v>145</v>
      </c>
      <c r="EV28" s="302" t="e">
        <f>+IF('Dati riepilogativi'!$B$2="Capo II",_xlfn.CONCAT("La capacità restitutoria stimata, espressa dal rapporto tra il MOL e il valore complessivo degli oneri finanziari, è compresa tra 0,8 e 1. "," ","Pertanto, non è garantita la capacità dell'azienda di generare flussi di cassa adeguati alle esigenze restitutorie derivanti dal finanziamento agevolato e dai finanziamenti a M/L termine previsti ai fini della realizzazione del programma di investimenti"),_xlfn.CONCAT("La capacità restitutoria, espressa dal rapporto tra il MOL e il valore complessivo degli oneri finanziari, è pari a ",ROUND($AZ$17,1)," per l'impresa nel suo complesso e pari a ",ROUND($AZ$18,1)," per il progetto presentato a finanziamento.","Pertanto, non è garantita la capacità dell'azienda nel suo complesso di generare flussi di cassa adeguati alle esigenze restitutorie"," derivanti dal finanziamento agevolato e dagli eventuali finanziamenti a M/L termine in essere e/o previsti ai fini della realizzazione del programma di investimenti."))</f>
        <v>#VALUE!</v>
      </c>
      <c r="EW28" s="1650"/>
      <c r="EX28" s="114" t="str">
        <f>+IF(OR(AND('Dati riepilogativi'!$B$2="Capo III",$DK$15=5),AND('Dati riepilogativi'!$B$2="Capo II",$CM$15=5)),"x","")</f>
        <v/>
      </c>
      <c r="EY28" s="115" t="str">
        <f>+IF(EX28="x",4,"")</f>
        <v/>
      </c>
      <c r="EZ28" s="1652"/>
    </row>
    <row r="29" spans="2:156" ht="75.75" customHeight="1" x14ac:dyDescent="0.35">
      <c r="B29" s="192" t="s">
        <v>63</v>
      </c>
      <c r="C29" s="288"/>
      <c r="D29" s="289"/>
      <c r="E29" s="289"/>
      <c r="F29" s="1283"/>
      <c r="G29" s="289"/>
      <c r="H29" s="289"/>
      <c r="I29" s="289"/>
      <c r="J29" s="289"/>
      <c r="K29" s="289"/>
      <c r="M29" s="197" t="s">
        <v>64</v>
      </c>
      <c r="N29" s="290"/>
      <c r="O29" s="187"/>
      <c r="P29" s="188"/>
      <c r="Q29" s="187"/>
      <c r="R29" s="188"/>
      <c r="S29" s="187"/>
      <c r="T29" s="1282"/>
      <c r="U29" s="187"/>
      <c r="V29" s="188"/>
      <c r="W29" s="187"/>
      <c r="X29" s="188"/>
      <c r="Y29" s="187"/>
      <c r="Z29" s="188"/>
      <c r="AA29" s="187"/>
      <c r="AB29" s="188"/>
      <c r="AC29" s="187"/>
      <c r="AD29" s="188"/>
      <c r="AE29" s="187"/>
      <c r="AL29" s="1"/>
      <c r="AM29" s="1" t="s">
        <v>235</v>
      </c>
      <c r="AN29" s="24" t="s">
        <v>237</v>
      </c>
      <c r="AO29" s="1"/>
      <c r="AP29" s="37" t="s">
        <v>191</v>
      </c>
      <c r="AQ29" s="1"/>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s="1"/>
      <c r="CG29" s="1"/>
      <c r="CH29" s="1"/>
      <c r="CI29" s="1"/>
      <c r="CJ29" s="1"/>
      <c r="CK29" s="1"/>
      <c r="CL29" s="1"/>
      <c r="CM29" s="1"/>
      <c r="CN29" s="81"/>
      <c r="CO29" s="14">
        <v>0.75</v>
      </c>
      <c r="CP29" s="14">
        <v>6</v>
      </c>
      <c r="CQ29" s="14">
        <v>0.05</v>
      </c>
      <c r="CR29" s="14">
        <v>6</v>
      </c>
      <c r="CS29" s="14">
        <v>8</v>
      </c>
      <c r="CT29" s="14">
        <v>5</v>
      </c>
      <c r="CU29" s="14">
        <v>0.05</v>
      </c>
      <c r="CV29" s="77">
        <v>6</v>
      </c>
      <c r="CW29" s="1"/>
      <c r="CX29" s="1"/>
      <c r="CY29" s="76"/>
      <c r="CZ29" s="14">
        <v>0.05</v>
      </c>
      <c r="DA29" s="77">
        <v>6</v>
      </c>
      <c r="DB29" s="1"/>
      <c r="DC29" s="1"/>
      <c r="DD29" s="1"/>
      <c r="DE29" s="241">
        <v>6</v>
      </c>
      <c r="DF29" t="b">
        <f>OR((AB58+AB60)&gt;=AB48,AB60+AB53&gt;=AB48)</f>
        <v>1</v>
      </c>
      <c r="DG29">
        <v>1</v>
      </c>
      <c r="DH29" s="68">
        <f t="shared" si="8"/>
        <v>1</v>
      </c>
      <c r="DI29" s="1"/>
      <c r="DJ29" s="1"/>
      <c r="DK29" s="1"/>
      <c r="DL29" s="1"/>
      <c r="DM29" s="1"/>
      <c r="DN29" s="1676"/>
      <c r="DO29" s="1675"/>
      <c r="DP29" s="312" t="s">
        <v>223</v>
      </c>
      <c r="DQ29" s="312">
        <f>IF(DS19=1,CP42,"N.D.")</f>
        <v>0</v>
      </c>
      <c r="DR29" s="312">
        <v>10</v>
      </c>
      <c r="DS29" s="1"/>
      <c r="DT29" s="1"/>
      <c r="DU29" s="1"/>
      <c r="DV29" s="1"/>
      <c r="DW29" s="1"/>
      <c r="DX29" s="1"/>
      <c r="DY29" s="1"/>
      <c r="DZ29" s="1"/>
      <c r="EA29" s="1"/>
      <c r="EB29" s="1"/>
      <c r="EU29" s="116" t="s">
        <v>145</v>
      </c>
      <c r="EV29" s="302" t="e">
        <f>IF('Dati riepilogativi'!$B$2="Capo II",_xlfn.CONCAT("La capacità restitutoria stimata, espressa dal rapporto tra il MOL e il valore complessivo degli oneri finanziari, è compresa tra 0,6 e 0,8. "," ","Pertanto, non è garantita la capacità dell'azienda di generare flussi di cassa adeguati alle esigenze restitutorie derivanti dal finanziamento agevolato e dai finanziamenti a M/L termine previsti ai fini della realizzazione del programma di investimenti"),_xlfn.CONCAT("La capacità restitutoria, espressa dal rapporto tra il MOL e il valore complessivo degli oneri finanziari, è pari a ",ROUND($AZ$17,1)," per l'impresa nel suo complesso e pari a ",ROUND($AZ$18,1)," per il progetto presentato a finanziamento.","Pertanto, non è garantita la capacità dell'azienda nel suo complesso di generare flussi di cassa adeguati alle esigenze restitutorie"," derivanti dal finanziamento agevolato e dagli eventuali finanziamenti a M/L termine in essere e/o previsti ai fini della realizzazione del programma di investimenti."))</f>
        <v>#VALUE!</v>
      </c>
      <c r="EW29" s="1650"/>
      <c r="EX29" s="114" t="str">
        <f>+IF(OR(AND('Dati riepilogativi'!$B$2="Capo III",$DK$15=4),AND('Dati riepilogativi'!$B$2="Capo II",$CM$15=4)),"x","")</f>
        <v/>
      </c>
      <c r="EY29" s="115" t="str">
        <f>+IF(EX29="x",4,"")</f>
        <v/>
      </c>
      <c r="EZ29" s="1652"/>
    </row>
    <row r="30" spans="2:156" ht="76.5" customHeight="1" thickBot="1" x14ac:dyDescent="0.4">
      <c r="B30" s="192" t="s">
        <v>65</v>
      </c>
      <c r="C30" s="288"/>
      <c r="D30" s="289"/>
      <c r="E30" s="289"/>
      <c r="F30" s="1283"/>
      <c r="G30" s="289"/>
      <c r="H30" s="289"/>
      <c r="I30" s="289"/>
      <c r="J30" s="289"/>
      <c r="K30" s="289"/>
      <c r="M30" s="193" t="s">
        <v>66</v>
      </c>
      <c r="N30" s="194">
        <f t="shared" ref="N30:AE30" si="10">+N17-N21</f>
        <v>0</v>
      </c>
      <c r="O30" s="195">
        <f t="shared" si="10"/>
        <v>0</v>
      </c>
      <c r="P30" s="196">
        <f t="shared" si="10"/>
        <v>0</v>
      </c>
      <c r="Q30" s="195">
        <f t="shared" si="10"/>
        <v>0</v>
      </c>
      <c r="R30" s="196">
        <f t="shared" si="10"/>
        <v>0</v>
      </c>
      <c r="S30" s="195">
        <f t="shared" si="10"/>
        <v>0</v>
      </c>
      <c r="T30" s="196">
        <f t="shared" si="10"/>
        <v>0</v>
      </c>
      <c r="U30" s="195">
        <f t="shared" si="10"/>
        <v>0</v>
      </c>
      <c r="V30" s="196">
        <f t="shared" si="10"/>
        <v>0</v>
      </c>
      <c r="W30" s="195">
        <f t="shared" si="10"/>
        <v>0</v>
      </c>
      <c r="X30" s="196">
        <f t="shared" si="10"/>
        <v>0</v>
      </c>
      <c r="Y30" s="195">
        <f t="shared" si="10"/>
        <v>0</v>
      </c>
      <c r="Z30" s="196">
        <f t="shared" si="10"/>
        <v>0</v>
      </c>
      <c r="AA30" s="195">
        <f t="shared" si="10"/>
        <v>0</v>
      </c>
      <c r="AB30" s="196">
        <f t="shared" si="10"/>
        <v>0</v>
      </c>
      <c r="AC30" s="195">
        <f t="shared" si="10"/>
        <v>0</v>
      </c>
      <c r="AD30" s="196">
        <f t="shared" si="10"/>
        <v>0</v>
      </c>
      <c r="AE30" s="195">
        <f t="shared" si="10"/>
        <v>0</v>
      </c>
      <c r="AL30" s="1"/>
      <c r="AM30" s="1" t="s">
        <v>235</v>
      </c>
      <c r="AN30" s="24" t="s">
        <v>238</v>
      </c>
      <c r="AO30" s="1"/>
      <c r="AP30" s="37" t="s">
        <v>191</v>
      </c>
      <c r="AQ30" s="1"/>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s="1"/>
      <c r="CG30" s="1"/>
      <c r="CH30" s="1"/>
      <c r="CI30" s="1"/>
      <c r="CJ30" s="1"/>
      <c r="CK30" s="1"/>
      <c r="CL30" s="1"/>
      <c r="CM30" s="1"/>
      <c r="CN30" s="81"/>
      <c r="CO30" s="14">
        <v>1</v>
      </c>
      <c r="CP30" s="14">
        <v>7</v>
      </c>
      <c r="CQ30" s="14">
        <v>0.1</v>
      </c>
      <c r="CR30" s="14">
        <v>7</v>
      </c>
      <c r="CS30" s="14">
        <v>10</v>
      </c>
      <c r="CT30" s="14">
        <v>4</v>
      </c>
      <c r="CU30" s="14">
        <v>0.1</v>
      </c>
      <c r="CV30" s="77">
        <v>7</v>
      </c>
      <c r="CW30" s="1"/>
      <c r="CX30" s="1"/>
      <c r="CY30" s="76"/>
      <c r="CZ30" s="14">
        <v>0.1</v>
      </c>
      <c r="DA30" s="77">
        <v>7</v>
      </c>
      <c r="DB30" s="1"/>
      <c r="DC30" s="1"/>
      <c r="DD30" s="1"/>
      <c r="DE30" s="241">
        <v>6</v>
      </c>
      <c r="DF30" t="b">
        <f ca="1">+AB56+AB60+IF(O60&gt;=0.3*AB48,0.3*AB48,O60)&gt;=AB48</f>
        <v>1</v>
      </c>
      <c r="DG30" t="b">
        <f>AB56&lt;=(AB48-AB60)*0.3</f>
        <v>1</v>
      </c>
      <c r="DH30" s="68">
        <f ca="1">IF('Dati riepilogativi'!B2="Capo II",0,+DF30*DG30)</f>
        <v>1</v>
      </c>
      <c r="DI30" s="1"/>
      <c r="DJ30" s="1"/>
      <c r="DK30" s="1"/>
      <c r="DL30" s="1"/>
      <c r="DM30" s="1"/>
      <c r="DN30" s="1676" t="s">
        <v>411</v>
      </c>
      <c r="DO30" s="311" t="s">
        <v>412</v>
      </c>
      <c r="DP30" s="312" t="s">
        <v>413</v>
      </c>
      <c r="DQ30" s="312">
        <f>IF(DS19=1,DT15,IF(DQ19=1,DR15,DP15))</f>
        <v>2</v>
      </c>
      <c r="DR30" s="312">
        <v>10</v>
      </c>
      <c r="DS30" s="1"/>
      <c r="DT30" s="1"/>
      <c r="DU30" s="1"/>
      <c r="DV30" s="1"/>
      <c r="DW30" s="1"/>
      <c r="DX30" s="1"/>
      <c r="DY30" s="1"/>
      <c r="DZ30" s="1"/>
      <c r="EA30" s="1"/>
      <c r="EB30" s="1"/>
      <c r="EU30" s="118" t="s">
        <v>151</v>
      </c>
      <c r="EV30" s="303" t="e">
        <f>+IF('Dati riepilogativi'!$B$2="Capo II",_xlfn.CONCAT("La capacità restitutoria stimata, espressa dal rapporto tra il MOL e il valore complessivo degli oneri finanziari, è minore di 0,6. "," ","Pertanto, non è garantita la capacità dell'azienda di generare flussi di cassa adeguati alle esigenze restitutorie derivanti dal finanziamento agevolato e dai finanziamenti a M/L termine previsti ai fini della realizzazione del programma di investimenti"),_xlfn.CONCAT("La capacità restitutoria, espressa dal rapporto tra il MOL e il valore complessivo degli oneri finanziari, è pari a ",ROUND($AZ$17,1)," per l'impresa nel suo complesso e pari a ",ROUND($AZ$18,1)," per il progetto presentato a finanziamento.","Pertanto, non è garantita la capacità dell'azienda nel suo complesso di generare flussi di cassa adeguati alle esigenze restitutorie"," derivanti dal finanziamento agevolato e dagli eventuali finanziamenti a M/L termine in essere e/o previsti ai fini della realizzazione del programma di investimenti."))</f>
        <v>#VALUE!</v>
      </c>
      <c r="EW30" s="1651"/>
      <c r="EX30" s="114" t="str">
        <f>+IF(OR(AND('Dati riepilogativi'!$B$2="Capo III",$DK$15&lt;=3),AND('Dati riepilogativi'!$B$2="Capo II",$CM$15&lt;=3)),"x","")</f>
        <v/>
      </c>
      <c r="EY30" s="115" t="str">
        <f>+IF(EX30="x",3,"")</f>
        <v/>
      </c>
      <c r="EZ30" s="1653"/>
    </row>
    <row r="31" spans="2:156" ht="25" customHeight="1" thickBot="1" x14ac:dyDescent="0.4">
      <c r="B31" s="192" t="s">
        <v>67</v>
      </c>
      <c r="C31" s="288"/>
      <c r="D31" s="289"/>
      <c r="E31" s="289"/>
      <c r="F31" s="289"/>
      <c r="G31" s="289"/>
      <c r="H31" s="289"/>
      <c r="I31" s="289"/>
      <c r="J31" s="289"/>
      <c r="K31" s="289"/>
      <c r="M31" s="186" t="s">
        <v>68</v>
      </c>
      <c r="N31" s="194">
        <f t="shared" ref="N31:AE31" si="11">+N32-N33</f>
        <v>0</v>
      </c>
      <c r="O31" s="195">
        <f t="shared" si="11"/>
        <v>0</v>
      </c>
      <c r="P31" s="196">
        <f t="shared" si="11"/>
        <v>0</v>
      </c>
      <c r="Q31" s="195">
        <f t="shared" si="11"/>
        <v>0</v>
      </c>
      <c r="R31" s="196">
        <f t="shared" si="11"/>
        <v>0</v>
      </c>
      <c r="S31" s="195">
        <f t="shared" si="11"/>
        <v>0</v>
      </c>
      <c r="T31" s="196">
        <f t="shared" si="11"/>
        <v>0</v>
      </c>
      <c r="U31" s="195">
        <f t="shared" si="11"/>
        <v>0</v>
      </c>
      <c r="V31" s="196">
        <f t="shared" si="11"/>
        <v>0</v>
      </c>
      <c r="W31" s="195">
        <f t="shared" si="11"/>
        <v>0</v>
      </c>
      <c r="X31" s="196">
        <f t="shared" si="11"/>
        <v>0</v>
      </c>
      <c r="Y31" s="195">
        <f t="shared" si="11"/>
        <v>0</v>
      </c>
      <c r="Z31" s="196">
        <f t="shared" si="11"/>
        <v>0</v>
      </c>
      <c r="AA31" s="195">
        <f t="shared" si="11"/>
        <v>0</v>
      </c>
      <c r="AB31" s="196">
        <f t="shared" si="11"/>
        <v>0</v>
      </c>
      <c r="AC31" s="195">
        <f t="shared" si="11"/>
        <v>0</v>
      </c>
      <c r="AD31" s="196">
        <f t="shared" si="11"/>
        <v>0</v>
      </c>
      <c r="AE31" s="195">
        <f t="shared" si="11"/>
        <v>0</v>
      </c>
      <c r="AL31" s="1"/>
      <c r="AM31" s="1"/>
      <c r="AN31" s="24" t="s">
        <v>239</v>
      </c>
      <c r="AO31" s="1"/>
      <c r="AP31" s="1" t="s">
        <v>240</v>
      </c>
      <c r="AQ31" s="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s="1"/>
      <c r="CG31" s="1"/>
      <c r="CH31" s="1"/>
      <c r="CI31" s="1"/>
      <c r="CJ31" s="1"/>
      <c r="CK31" s="1"/>
      <c r="CL31" s="1"/>
      <c r="CM31" s="1"/>
      <c r="CN31" s="81"/>
      <c r="CO31" s="14">
        <v>1.25</v>
      </c>
      <c r="CP31" s="14">
        <v>8</v>
      </c>
      <c r="CQ31" s="14">
        <v>0.15</v>
      </c>
      <c r="CR31" s="14">
        <v>8</v>
      </c>
      <c r="CS31" s="14">
        <v>12</v>
      </c>
      <c r="CT31" s="14">
        <v>3</v>
      </c>
      <c r="CU31" s="14">
        <v>0.15</v>
      </c>
      <c r="CV31" s="77">
        <v>8</v>
      </c>
      <c r="CW31" s="1"/>
      <c r="CX31" s="1"/>
      <c r="CY31" s="76"/>
      <c r="CZ31" s="14">
        <v>0.15</v>
      </c>
      <c r="DA31" s="77">
        <v>8</v>
      </c>
      <c r="DB31" s="1"/>
      <c r="DC31" s="1"/>
      <c r="DD31" s="1"/>
      <c r="DE31" s="241">
        <v>6</v>
      </c>
      <c r="DF31" t="b">
        <f>AND(0.01+AB63&gt;=AB48,DH33=0)</f>
        <v>1</v>
      </c>
      <c r="DG31" s="51">
        <v>1</v>
      </c>
      <c r="DH31" s="68">
        <f>+DF31*DG31</f>
        <v>1</v>
      </c>
      <c r="DI31" s="1"/>
      <c r="DJ31" s="1"/>
      <c r="DK31" s="1"/>
      <c r="DL31" s="1"/>
      <c r="DM31" s="1"/>
      <c r="DN31" s="1676"/>
      <c r="DO31" s="1675" t="s">
        <v>414</v>
      </c>
      <c r="DP31" s="312" t="s">
        <v>394</v>
      </c>
      <c r="DQ31" s="312" t="str">
        <f>+DA38</f>
        <v>N.D.</v>
      </c>
      <c r="DR31" s="312">
        <v>10</v>
      </c>
      <c r="DS31" s="1"/>
      <c r="DT31" s="1"/>
      <c r="DU31" s="1"/>
      <c r="DV31" s="1"/>
      <c r="DW31" s="1"/>
      <c r="DX31" s="1"/>
      <c r="DY31" s="1"/>
      <c r="DZ31" s="1"/>
      <c r="EA31" s="1"/>
      <c r="EB31" s="1"/>
      <c r="EU31" s="119" t="s">
        <v>134</v>
      </c>
      <c r="EV31" s="1640" t="s">
        <v>153</v>
      </c>
      <c r="EW31" s="1640"/>
      <c r="EX31" s="1640"/>
      <c r="EY31" s="1640"/>
      <c r="EZ31" s="1641"/>
    </row>
    <row r="32" spans="2:156" ht="25" customHeight="1" x14ac:dyDescent="0.35">
      <c r="B32" s="192" t="s">
        <v>69</v>
      </c>
      <c r="C32" s="288"/>
      <c r="D32" s="289"/>
      <c r="E32" s="289"/>
      <c r="F32" s="289"/>
      <c r="G32" s="289"/>
      <c r="H32" s="289"/>
      <c r="I32" s="289"/>
      <c r="J32" s="289"/>
      <c r="K32" s="289"/>
      <c r="M32" s="192" t="s">
        <v>70</v>
      </c>
      <c r="N32" s="291"/>
      <c r="O32" s="198"/>
      <c r="P32" s="199"/>
      <c r="Q32" s="198"/>
      <c r="R32" s="199"/>
      <c r="S32" s="198"/>
      <c r="T32" s="199"/>
      <c r="U32" s="198"/>
      <c r="V32" s="199"/>
      <c r="W32" s="198"/>
      <c r="X32" s="199"/>
      <c r="Y32" s="198"/>
      <c r="Z32" s="199"/>
      <c r="AA32" s="198"/>
      <c r="AB32" s="199"/>
      <c r="AC32" s="198"/>
      <c r="AD32" s="199"/>
      <c r="AE32" s="198"/>
      <c r="AL32" s="1"/>
      <c r="AM32" s="1" t="s">
        <v>241</v>
      </c>
      <c r="AN32" s="24" t="s">
        <v>242</v>
      </c>
      <c r="AO32" s="1"/>
      <c r="AP32" s="38" t="s">
        <v>195</v>
      </c>
      <c r="AQ32" s="1"/>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s="1"/>
      <c r="CG32" s="1"/>
      <c r="CH32" s="1"/>
      <c r="CI32" s="1"/>
      <c r="CJ32" s="1"/>
      <c r="CK32" s="1"/>
      <c r="CL32" s="1"/>
      <c r="CM32" s="1"/>
      <c r="CN32" s="81"/>
      <c r="CO32" s="14">
        <v>1.5</v>
      </c>
      <c r="CP32" s="14">
        <v>9</v>
      </c>
      <c r="CQ32" s="14">
        <v>0.2</v>
      </c>
      <c r="CR32" s="14">
        <v>9</v>
      </c>
      <c r="CS32" s="14">
        <v>14</v>
      </c>
      <c r="CT32" s="14">
        <v>2</v>
      </c>
      <c r="CU32" s="14">
        <v>0.2</v>
      </c>
      <c r="CV32" s="77">
        <v>9</v>
      </c>
      <c r="CW32" s="1"/>
      <c r="CX32" s="1"/>
      <c r="CY32" s="76"/>
      <c r="CZ32" s="14">
        <v>0.2</v>
      </c>
      <c r="DA32" s="77">
        <v>9</v>
      </c>
      <c r="DB32" s="1"/>
      <c r="DC32" s="1"/>
      <c r="DD32" s="1"/>
      <c r="DE32" s="241">
        <v>5</v>
      </c>
      <c r="DF32">
        <f>+IF(AND(AB60&gt;0,OR(AB56&gt;0,AB50&gt;0),AB63&lt;AB48),1,0)</f>
        <v>0</v>
      </c>
      <c r="DG32">
        <v>1</v>
      </c>
      <c r="DH32" s="68">
        <f>+DF32*DG32</f>
        <v>0</v>
      </c>
      <c r="DI32" s="1"/>
      <c r="DJ32" s="1"/>
      <c r="DK32" s="1"/>
      <c r="DL32" s="1"/>
      <c r="DM32" s="1"/>
      <c r="DN32" s="1676"/>
      <c r="DO32" s="1675"/>
      <c r="DP32" s="312" t="s">
        <v>170</v>
      </c>
      <c r="DQ32" s="312" t="str">
        <f>+BE13</f>
        <v>N.D.</v>
      </c>
      <c r="DR32" s="312">
        <v>10</v>
      </c>
      <c r="DS32" s="1"/>
      <c r="DT32" s="1"/>
      <c r="DU32" s="1"/>
      <c r="DV32" s="1"/>
      <c r="DW32" s="1"/>
      <c r="DX32" s="1"/>
      <c r="DY32" s="1"/>
      <c r="DZ32" s="1"/>
      <c r="EA32" s="1"/>
      <c r="EB32" s="1"/>
      <c r="EU32" s="306" t="s">
        <v>136</v>
      </c>
      <c r="EV32" s="307" t="s">
        <v>154</v>
      </c>
      <c r="EW32" s="1634"/>
      <c r="EX32" s="308" t="str">
        <f>+IF($DH$37=10,"X","")</f>
        <v/>
      </c>
      <c r="EY32" s="309" t="str">
        <f>+IF(EX32="x",10,"")</f>
        <v/>
      </c>
      <c r="EZ32" s="1637"/>
    </row>
    <row r="33" spans="2:156" ht="37.5" customHeight="1" x14ac:dyDescent="0.35">
      <c r="B33" s="186" t="s">
        <v>71</v>
      </c>
      <c r="C33" s="189">
        <f t="shared" ref="C33:K33" si="12">+SUM(C34:C38)</f>
        <v>0</v>
      </c>
      <c r="D33" s="190">
        <f t="shared" si="12"/>
        <v>0</v>
      </c>
      <c r="E33" s="190">
        <f t="shared" si="12"/>
        <v>0</v>
      </c>
      <c r="F33" s="190">
        <f t="shared" si="12"/>
        <v>0</v>
      </c>
      <c r="G33" s="190">
        <f t="shared" si="12"/>
        <v>0</v>
      </c>
      <c r="H33" s="190">
        <f t="shared" si="12"/>
        <v>0</v>
      </c>
      <c r="I33" s="190">
        <f t="shared" si="12"/>
        <v>0</v>
      </c>
      <c r="J33" s="190">
        <f t="shared" si="12"/>
        <v>0</v>
      </c>
      <c r="K33" s="190">
        <f t="shared" si="12"/>
        <v>0</v>
      </c>
      <c r="M33" s="192" t="s">
        <v>72</v>
      </c>
      <c r="N33" s="291"/>
      <c r="O33" s="198"/>
      <c r="P33" s="199"/>
      <c r="Q33" s="198"/>
      <c r="R33" s="1285"/>
      <c r="S33" s="198"/>
      <c r="T33" s="1285"/>
      <c r="U33" s="198"/>
      <c r="V33" s="199"/>
      <c r="W33" s="198"/>
      <c r="X33" s="199"/>
      <c r="Y33" s="198"/>
      <c r="Z33" s="199"/>
      <c r="AA33" s="198"/>
      <c r="AB33" s="199"/>
      <c r="AC33" s="198"/>
      <c r="AD33" s="199"/>
      <c r="AE33" s="198"/>
      <c r="AL33" s="1"/>
      <c r="AM33" s="1" t="s">
        <v>241</v>
      </c>
      <c r="AN33" s="24" t="s">
        <v>243</v>
      </c>
      <c r="AO33" s="1"/>
      <c r="AP33" s="38" t="s">
        <v>195</v>
      </c>
      <c r="AQ33" s="1"/>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s="1"/>
      <c r="CG33" s="1"/>
      <c r="CH33" s="1"/>
      <c r="CI33" s="1"/>
      <c r="CJ33" s="1"/>
      <c r="CK33" s="1"/>
      <c r="CL33" s="1"/>
      <c r="CM33" s="1"/>
      <c r="CN33" s="81"/>
      <c r="CO33" s="14">
        <v>2</v>
      </c>
      <c r="CP33" s="14">
        <v>10</v>
      </c>
      <c r="CQ33" s="14">
        <v>0.25</v>
      </c>
      <c r="CR33" s="14">
        <v>10</v>
      </c>
      <c r="CS33" s="14">
        <v>16</v>
      </c>
      <c r="CT33" s="14">
        <v>1</v>
      </c>
      <c r="CU33" s="14">
        <v>0.25</v>
      </c>
      <c r="CV33" s="77">
        <v>10</v>
      </c>
      <c r="CW33" s="1"/>
      <c r="CX33" s="1"/>
      <c r="CY33" s="76"/>
      <c r="CZ33" s="14">
        <v>0.25</v>
      </c>
      <c r="DA33" s="77">
        <v>10</v>
      </c>
      <c r="DB33" s="1"/>
      <c r="DC33" s="1"/>
      <c r="DD33" s="1"/>
      <c r="DE33" s="241">
        <v>5</v>
      </c>
      <c r="DF33" s="51">
        <f>IF(AND(AB57&gt;0,+(AB50+AB60+(AB56-AB57)+MIN(AB47,AB57))-AB48&lt;0),1,0)</f>
        <v>0</v>
      </c>
      <c r="DG33" s="51">
        <v>1</v>
      </c>
      <c r="DH33" s="68">
        <f>+DF33*DG33</f>
        <v>0</v>
      </c>
      <c r="DI33" s="1"/>
      <c r="DJ33" s="1"/>
      <c r="DK33" s="1"/>
      <c r="DL33" s="1"/>
      <c r="DM33" s="1"/>
      <c r="DN33" s="1676"/>
      <c r="DO33" s="1675"/>
      <c r="DP33" s="312" t="s">
        <v>171</v>
      </c>
      <c r="DQ33" s="312" t="str">
        <f>+BE14</f>
        <v>N.D.</v>
      </c>
      <c r="DR33" s="312">
        <v>10</v>
      </c>
      <c r="DS33" s="1"/>
      <c r="DT33" s="1"/>
      <c r="DU33" s="1"/>
      <c r="DV33" s="1"/>
      <c r="DW33" s="1"/>
      <c r="DX33" s="1"/>
      <c r="DY33" s="1"/>
      <c r="DZ33" s="1"/>
      <c r="EA33" s="1"/>
      <c r="EB33" s="1"/>
      <c r="EU33" s="122" t="s">
        <v>138</v>
      </c>
      <c r="EV33" s="304" t="s">
        <v>155</v>
      </c>
      <c r="EW33" s="1635"/>
      <c r="EX33" s="123" t="str">
        <f>+IF($DH$37=9,"X","")</f>
        <v/>
      </c>
      <c r="EY33" s="124" t="str">
        <f>+IF(EX33="x",9,"")</f>
        <v/>
      </c>
      <c r="EZ33" s="1638"/>
    </row>
    <row r="34" spans="2:156" ht="35.25" customHeight="1" x14ac:dyDescent="0.35">
      <c r="B34" s="186" t="s">
        <v>73</v>
      </c>
      <c r="C34" s="288"/>
      <c r="D34" s="289"/>
      <c r="E34" s="289"/>
      <c r="F34" s="289"/>
      <c r="G34" s="289"/>
      <c r="H34" s="289"/>
      <c r="I34" s="289"/>
      <c r="J34" s="289"/>
      <c r="K34" s="289"/>
      <c r="M34" s="192" t="s">
        <v>74</v>
      </c>
      <c r="N34" s="290"/>
      <c r="O34" s="187"/>
      <c r="P34" s="188"/>
      <c r="Q34" s="187"/>
      <c r="R34" s="188"/>
      <c r="S34" s="187"/>
      <c r="T34" s="188"/>
      <c r="U34" s="187"/>
      <c r="V34" s="188"/>
      <c r="W34" s="187"/>
      <c r="X34" s="188"/>
      <c r="Y34" s="187"/>
      <c r="Z34" s="188"/>
      <c r="AA34" s="187"/>
      <c r="AB34" s="188"/>
      <c r="AC34" s="187"/>
      <c r="AD34" s="188"/>
      <c r="AE34" s="187"/>
      <c r="AL34" s="1"/>
      <c r="AM34" s="1" t="s">
        <v>241</v>
      </c>
      <c r="AN34" s="24" t="s">
        <v>244</v>
      </c>
      <c r="AO34" s="1"/>
      <c r="AP34" s="38" t="s">
        <v>195</v>
      </c>
      <c r="AQ34" s="1"/>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s="1"/>
      <c r="CG34" s="1"/>
      <c r="CH34" s="1"/>
      <c r="CI34" s="1"/>
      <c r="CJ34" s="1"/>
      <c r="CK34" s="1"/>
      <c r="CL34" s="1"/>
      <c r="CM34" s="1"/>
      <c r="CN34" s="81"/>
      <c r="CO34" s="1"/>
      <c r="CP34" s="1"/>
      <c r="CQ34" s="14"/>
      <c r="CR34" s="1"/>
      <c r="CS34" s="1"/>
      <c r="CT34" s="1"/>
      <c r="CU34" s="1"/>
      <c r="CV34" s="68"/>
      <c r="CW34" s="1"/>
      <c r="CX34" s="1"/>
      <c r="CY34" s="76"/>
      <c r="CZ34" s="1"/>
      <c r="DA34" s="68"/>
      <c r="DB34" s="1"/>
      <c r="DC34" s="1"/>
      <c r="DD34" s="1"/>
      <c r="DE34" s="241">
        <v>4</v>
      </c>
      <c r="DF34" t="b">
        <f ca="1">+(P60-Z60+Z44+Z45)&gt;=(AB48-AB60)</f>
        <v>1</v>
      </c>
      <c r="DG34" t="b">
        <f>AND((AB50+AB56)=0,AB60&gt;0)</f>
        <v>0</v>
      </c>
      <c r="DH34" s="68">
        <f ca="1">+DF34*DG34</f>
        <v>0</v>
      </c>
      <c r="DI34" s="1"/>
      <c r="DJ34" s="1"/>
      <c r="DK34" s="1"/>
      <c r="DL34" s="1"/>
      <c r="DM34" s="1"/>
      <c r="DN34" s="1676"/>
      <c r="DO34" s="1675"/>
      <c r="DP34" s="312" t="s">
        <v>172</v>
      </c>
      <c r="DQ34" s="312" t="str">
        <f t="shared" ref="DQ34" si="13">+BE15</f>
        <v>N.D.</v>
      </c>
      <c r="DR34" s="312">
        <v>10</v>
      </c>
      <c r="DS34" s="1"/>
      <c r="DT34" s="1"/>
      <c r="DU34" s="1"/>
      <c r="DV34" s="1"/>
      <c r="DW34" s="1"/>
      <c r="DX34" s="1"/>
      <c r="DY34" s="1"/>
      <c r="DZ34" s="1"/>
      <c r="EA34" s="1"/>
      <c r="EB34" s="1"/>
      <c r="EU34" s="122" t="s">
        <v>138</v>
      </c>
      <c r="EV34" s="304" t="s">
        <v>156</v>
      </c>
      <c r="EW34" s="1635"/>
      <c r="EX34" s="123" t="str">
        <f>+IF($DH$37=8,"X","")</f>
        <v/>
      </c>
      <c r="EY34" s="124" t="str">
        <f>+IF(EX34="x",8,"")</f>
        <v/>
      </c>
      <c r="EZ34" s="1638"/>
    </row>
    <row r="35" spans="2:156" ht="32.25" customHeight="1" x14ac:dyDescent="0.35">
      <c r="B35" s="186" t="s">
        <v>75</v>
      </c>
      <c r="C35" s="288"/>
      <c r="D35" s="289"/>
      <c r="E35" s="289"/>
      <c r="F35" s="289"/>
      <c r="G35" s="289"/>
      <c r="H35" s="289"/>
      <c r="I35" s="289"/>
      <c r="J35" s="289"/>
      <c r="K35" s="289"/>
      <c r="M35" s="193" t="s">
        <v>76</v>
      </c>
      <c r="N35" s="194">
        <f t="shared" ref="N35:AE35" si="14">N30+N31+N34</f>
        <v>0</v>
      </c>
      <c r="O35" s="195">
        <f t="shared" si="14"/>
        <v>0</v>
      </c>
      <c r="P35" s="196">
        <f t="shared" si="14"/>
        <v>0</v>
      </c>
      <c r="Q35" s="195">
        <f t="shared" si="14"/>
        <v>0</v>
      </c>
      <c r="R35" s="196">
        <f t="shared" si="14"/>
        <v>0</v>
      </c>
      <c r="S35" s="195">
        <f t="shared" si="14"/>
        <v>0</v>
      </c>
      <c r="T35" s="196">
        <f t="shared" si="14"/>
        <v>0</v>
      </c>
      <c r="U35" s="195">
        <f t="shared" si="14"/>
        <v>0</v>
      </c>
      <c r="V35" s="196">
        <f t="shared" si="14"/>
        <v>0</v>
      </c>
      <c r="W35" s="195">
        <f t="shared" si="14"/>
        <v>0</v>
      </c>
      <c r="X35" s="196">
        <f t="shared" si="14"/>
        <v>0</v>
      </c>
      <c r="Y35" s="195">
        <f t="shared" si="14"/>
        <v>0</v>
      </c>
      <c r="Z35" s="196">
        <f t="shared" si="14"/>
        <v>0</v>
      </c>
      <c r="AA35" s="195">
        <f t="shared" si="14"/>
        <v>0</v>
      </c>
      <c r="AB35" s="196">
        <f t="shared" si="14"/>
        <v>0</v>
      </c>
      <c r="AC35" s="195">
        <f t="shared" si="14"/>
        <v>0</v>
      </c>
      <c r="AD35" s="196">
        <f t="shared" si="14"/>
        <v>0</v>
      </c>
      <c r="AE35" s="195">
        <f t="shared" si="14"/>
        <v>0</v>
      </c>
      <c r="AL35" s="1"/>
      <c r="AM35" s="1" t="s">
        <v>241</v>
      </c>
      <c r="AN35" s="24" t="s">
        <v>245</v>
      </c>
      <c r="AO35" s="1"/>
      <c r="AP35" s="38" t="s">
        <v>195</v>
      </c>
      <c r="AQ35" s="1"/>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s="1"/>
      <c r="CG35" s="1"/>
      <c r="CH35" s="1"/>
      <c r="CI35" s="1"/>
      <c r="CJ35" s="1"/>
      <c r="CK35" s="1"/>
      <c r="CL35" s="1"/>
      <c r="CM35" s="1"/>
      <c r="CN35" s="1658" t="s">
        <v>246</v>
      </c>
      <c r="CO35" s="14" t="s">
        <v>247</v>
      </c>
      <c r="CP35" s="14" t="str">
        <f>+IFERROR((+Simulazione!C49+Simulazione!C57+Simulazione!C60+Simulazione!C63+Simulazione!C66)/Simulazione!C18,"N.D.")</f>
        <v>N.D.</v>
      </c>
      <c r="CQ35" s="14" t="s">
        <v>247</v>
      </c>
      <c r="CR35" s="102" t="str">
        <f>IFERROR(+Simulazione!C49/Simulazione!C48,"N.D.")</f>
        <v>N.D.</v>
      </c>
      <c r="CS35" s="14" t="s">
        <v>247</v>
      </c>
      <c r="CT35" s="99" t="str">
        <f>IFERROR((Simulazione!C55+Simulazione!C64 -Simulazione!C46)/(Simulazione!N17-Simulazione!N21+Simulazione!N26+Simulazione!N28),"N.D.")</f>
        <v>N.D.</v>
      </c>
      <c r="CU35" s="14" t="s">
        <v>247</v>
      </c>
      <c r="CV35" s="77" t="str">
        <f>IFERROR((Simulazione!N17-Simulazione!N21+Simulazione!N26+Simulazione!N28)/Simulazione!N17,"N.D.")</f>
        <v>N.D.</v>
      </c>
      <c r="CW35" s="1"/>
      <c r="CX35" s="1"/>
      <c r="CY35" s="76"/>
      <c r="CZ35" s="1"/>
      <c r="DA35" s="68"/>
      <c r="DB35" s="1"/>
      <c r="DC35" s="1"/>
      <c r="DD35" s="1"/>
      <c r="DE35" s="241">
        <v>3</v>
      </c>
      <c r="DF35"/>
      <c r="DG35"/>
      <c r="DH35" s="68">
        <f>+IF($DH$37=3,1,0)</f>
        <v>0</v>
      </c>
      <c r="DI35" s="1"/>
      <c r="DJ35" s="1"/>
      <c r="DK35" s="1"/>
      <c r="DL35" s="1"/>
      <c r="DM35" s="1"/>
      <c r="DN35" s="1676"/>
      <c r="DO35" s="1675"/>
      <c r="DP35" s="312" t="s">
        <v>173</v>
      </c>
      <c r="DQ35" s="312" t="str">
        <f>+BE16</f>
        <v>N.D.</v>
      </c>
      <c r="DR35" s="312">
        <v>10</v>
      </c>
      <c r="DS35" s="1"/>
      <c r="DT35" s="1"/>
      <c r="DU35" s="1"/>
      <c r="DV35" s="1"/>
      <c r="DW35" s="1"/>
      <c r="DX35" s="1"/>
      <c r="DY35" s="1"/>
      <c r="DZ35" s="1"/>
      <c r="EA35" s="1"/>
      <c r="EB35" s="1"/>
      <c r="EU35" s="125" t="s">
        <v>139</v>
      </c>
      <c r="EV35" s="304" t="s">
        <v>157</v>
      </c>
      <c r="EW35" s="1635"/>
      <c r="EX35" s="123" t="str">
        <f>+IF($DH$37=7,"X","")</f>
        <v/>
      </c>
      <c r="EY35" s="124" t="str">
        <f>+IF(EX35="x",7,"")</f>
        <v/>
      </c>
      <c r="EZ35" s="1638"/>
    </row>
    <row r="36" spans="2:156" ht="38.25" customHeight="1" thickBot="1" x14ac:dyDescent="0.4">
      <c r="B36" s="192" t="s">
        <v>77</v>
      </c>
      <c r="C36" s="288"/>
      <c r="D36" s="289"/>
      <c r="E36" s="289"/>
      <c r="F36" s="289"/>
      <c r="G36" s="289"/>
      <c r="H36" s="289"/>
      <c r="I36" s="289"/>
      <c r="J36" s="289"/>
      <c r="K36" s="289"/>
      <c r="M36" s="193" t="s">
        <v>78</v>
      </c>
      <c r="N36" s="292"/>
      <c r="O36" s="200"/>
      <c r="P36" s="201"/>
      <c r="Q36" s="200"/>
      <c r="R36" s="201"/>
      <c r="S36" s="200"/>
      <c r="T36" s="201"/>
      <c r="U36" s="200"/>
      <c r="V36" s="201"/>
      <c r="W36" s="200"/>
      <c r="X36" s="201"/>
      <c r="Y36" s="200"/>
      <c r="Z36" s="201"/>
      <c r="AA36" s="200"/>
      <c r="AB36" s="201"/>
      <c r="AC36" s="200"/>
      <c r="AD36" s="201"/>
      <c r="AE36" s="200"/>
      <c r="AL36" s="1"/>
      <c r="AM36" s="1" t="s">
        <v>241</v>
      </c>
      <c r="AN36" s="24" t="s">
        <v>248</v>
      </c>
      <c r="AO36" s="1"/>
      <c r="AP36" s="38" t="s">
        <v>195</v>
      </c>
      <c r="AQ36" s="1"/>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s="1"/>
      <c r="CG36" s="1"/>
      <c r="CH36" s="1"/>
      <c r="CI36" s="1"/>
      <c r="CJ36" s="1"/>
      <c r="CK36" s="1"/>
      <c r="CL36" s="1"/>
      <c r="CM36" s="1"/>
      <c r="CN36" s="1658"/>
      <c r="CO36" s="14" t="s">
        <v>249</v>
      </c>
      <c r="CP36" s="14" t="str">
        <f>+IFERROR((+Simulazione!D49+Simulazione!D57+Simulazione!D60+Simulazione!D63+Simulazione!D66)/Simulazione!D18,"N.D.")</f>
        <v>N.D.</v>
      </c>
      <c r="CQ36" s="14" t="s">
        <v>249</v>
      </c>
      <c r="CR36" s="99" t="str">
        <f>IFERROR(+Simulazione!D49/Simulazione!D48,"N.D.")</f>
        <v>N.D.</v>
      </c>
      <c r="CS36" s="14" t="s">
        <v>249</v>
      </c>
      <c r="CT36" s="99" t="str">
        <f>+IFERROR((Simulazione!D55+Simulazione!D64 -Simulazione!D46)/(Simulazione!P17-Simulazione!P21+Simulazione!P26+Simulazione!P28),"N.D.")</f>
        <v>N.D.</v>
      </c>
      <c r="CU36" s="14" t="s">
        <v>249</v>
      </c>
      <c r="CV36" s="77" t="str">
        <f>IFERROR((Simulazione!P17-Simulazione!P21+Simulazione!P26+Simulazione!P28)/Simulazione!P17,"N.D.")</f>
        <v>N.D.</v>
      </c>
      <c r="CW36" s="1"/>
      <c r="CX36" s="1"/>
      <c r="CY36" s="76"/>
      <c r="CZ36" s="14" t="s">
        <v>250</v>
      </c>
      <c r="DA36" s="77" t="str">
        <f>+_xlfn.CONCAT("ANNO"," ",Simulazione!C10)</f>
        <v>ANNO 5</v>
      </c>
      <c r="DB36" s="1"/>
      <c r="DC36" s="1"/>
      <c r="DD36" s="1"/>
      <c r="DE36" s="241">
        <v>2</v>
      </c>
      <c r="DF36" t="b">
        <f>AB63=AB60</f>
        <v>1</v>
      </c>
      <c r="DG36">
        <v>1</v>
      </c>
      <c r="DH36" s="68">
        <f>+DF36*DG36</f>
        <v>1</v>
      </c>
      <c r="DI36" s="1"/>
      <c r="DJ36" s="1"/>
      <c r="DK36" s="1"/>
      <c r="DL36" s="1"/>
      <c r="DM36" s="1"/>
      <c r="DN36" s="1"/>
      <c r="DO36" s="1"/>
      <c r="DP36" s="1"/>
      <c r="DQ36" s="1"/>
      <c r="DR36" s="1"/>
      <c r="DS36" s="1"/>
      <c r="DT36" s="1"/>
      <c r="DU36" s="1"/>
      <c r="DV36" s="1"/>
      <c r="DW36" s="1"/>
      <c r="DX36" s="1"/>
      <c r="DY36" s="1"/>
      <c r="DZ36" s="1"/>
      <c r="EA36" s="1"/>
      <c r="EB36" s="1"/>
      <c r="EU36" s="122">
        <v>0</v>
      </c>
      <c r="EV36" s="304" t="s">
        <v>158</v>
      </c>
      <c r="EW36" s="1635"/>
      <c r="EX36" s="123" t="str">
        <f>+IF(AND($DH$37=6,$DH$28=1),"X","")</f>
        <v/>
      </c>
      <c r="EY36" s="124" t="str">
        <f>+IF(EX36="x",6,"")</f>
        <v/>
      </c>
      <c r="EZ36" s="1638"/>
    </row>
    <row r="37" spans="2:156" ht="33.75" customHeight="1" thickTop="1" thickBot="1" x14ac:dyDescent="0.4">
      <c r="B37" s="192" t="s">
        <v>79</v>
      </c>
      <c r="C37" s="288"/>
      <c r="D37" s="289"/>
      <c r="E37" s="289"/>
      <c r="F37" s="289"/>
      <c r="G37" s="289"/>
      <c r="H37" s="289"/>
      <c r="I37" s="289"/>
      <c r="J37" s="289"/>
      <c r="K37" s="289"/>
      <c r="M37" s="202" t="s">
        <v>80</v>
      </c>
      <c r="N37" s="203">
        <f t="shared" ref="N37:AE37" si="15">+N35-N36</f>
        <v>0</v>
      </c>
      <c r="O37" s="204">
        <f t="shared" si="15"/>
        <v>0</v>
      </c>
      <c r="P37" s="205">
        <f t="shared" si="15"/>
        <v>0</v>
      </c>
      <c r="Q37" s="204">
        <f t="shared" si="15"/>
        <v>0</v>
      </c>
      <c r="R37" s="205">
        <f t="shared" si="15"/>
        <v>0</v>
      </c>
      <c r="S37" s="204">
        <f t="shared" si="15"/>
        <v>0</v>
      </c>
      <c r="T37" s="205">
        <f t="shared" si="15"/>
        <v>0</v>
      </c>
      <c r="U37" s="204">
        <f t="shared" si="15"/>
        <v>0</v>
      </c>
      <c r="V37" s="205">
        <f t="shared" si="15"/>
        <v>0</v>
      </c>
      <c r="W37" s="204">
        <f t="shared" si="15"/>
        <v>0</v>
      </c>
      <c r="X37" s="205">
        <f t="shared" si="15"/>
        <v>0</v>
      </c>
      <c r="Y37" s="204">
        <f t="shared" si="15"/>
        <v>0</v>
      </c>
      <c r="Z37" s="205">
        <f t="shared" si="15"/>
        <v>0</v>
      </c>
      <c r="AA37" s="204">
        <f t="shared" si="15"/>
        <v>0</v>
      </c>
      <c r="AB37" s="205">
        <f t="shared" si="15"/>
        <v>0</v>
      </c>
      <c r="AC37" s="204">
        <f t="shared" si="15"/>
        <v>0</v>
      </c>
      <c r="AD37" s="205">
        <f t="shared" si="15"/>
        <v>0</v>
      </c>
      <c r="AE37" s="204">
        <f t="shared" si="15"/>
        <v>0</v>
      </c>
      <c r="AL37" s="1"/>
      <c r="AM37" s="1" t="s">
        <v>251</v>
      </c>
      <c r="AN37" s="24" t="s">
        <v>252</v>
      </c>
      <c r="AO37" s="1"/>
      <c r="AP37" s="38" t="s">
        <v>195</v>
      </c>
      <c r="AQ37" s="1"/>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s="1"/>
      <c r="CG37" s="1"/>
      <c r="CH37" s="1"/>
      <c r="CI37" s="1"/>
      <c r="CJ37" s="1"/>
      <c r="CK37" s="1"/>
      <c r="CL37" s="1"/>
      <c r="CM37" s="1"/>
      <c r="CN37" s="1658"/>
      <c r="CO37" s="14" t="s">
        <v>253</v>
      </c>
      <c r="CP37" s="14" t="str">
        <f>+IFERROR((+Simulazione!E49+Simulazione!E57+Simulazione!E60+Simulazione!E63+Simulazione!E66)/Simulazione!E18,"N.D.")</f>
        <v>N.D.</v>
      </c>
      <c r="CQ37" s="14" t="s">
        <v>253</v>
      </c>
      <c r="CR37" s="99" t="str">
        <f>IFERROR(+Simulazione!E49/Simulazione!E48,"N.D.")</f>
        <v>N.D.</v>
      </c>
      <c r="CS37" s="14" t="s">
        <v>253</v>
      </c>
      <c r="CT37" s="99" t="str">
        <f>IFERROR((Simulazione!E55+Simulazione!E64 -Simulazione!E46)/(Simulazione!R17-Simulazione!R21+Simulazione!R26+Simulazione!R28),"N.D.")</f>
        <v>N.D.</v>
      </c>
      <c r="CU37" s="14" t="s">
        <v>253</v>
      </c>
      <c r="CV37" s="77" t="str">
        <f>IFERROR((Simulazione!R17-Simulazione!R21+Simulazione!R26+Simulazione!R28)/Simulazione!R17,"N.D.")</f>
        <v>N.D.</v>
      </c>
      <c r="CW37" s="1"/>
      <c r="CX37" s="1"/>
      <c r="CY37" s="76"/>
      <c r="CZ37" s="14" t="s">
        <v>254</v>
      </c>
      <c r="DA37" s="155" t="e">
        <f>(+INDEX(Simulazione!M15:AE37,16,MATCH(Simulazione!DA36,Simulazione!M16:AE16,0))+INDEX(Simulazione!M15:AE37,14,MATCH(Simulazione!DA36,Simulazione!M16:AE16,0))+INDEX(Simulazione!M15:AE37,12,MATCH(Simulazione!DA36,Simulazione!M16:AE16,0)))/+INDEX(Simulazione!M15:AE37,3,MATCH(Simulazione!DA36,Simulazione!M16:AE16,0))</f>
        <v>#N/A</v>
      </c>
      <c r="DB37" s="1"/>
      <c r="DC37" s="1"/>
      <c r="DD37" s="1"/>
      <c r="DE37" s="242"/>
      <c r="DF37" s="243"/>
      <c r="DG37" s="243"/>
      <c r="DH37" s="103">
        <f>IFERROR(IF(AB60&gt;((AB44+AB46)+0.01)*0.9,3,IF(AB48+AB63=0,2,+INDEX(DE24:DH36,MATCH(1,DH24:DH36,0),1))),"N.D.")</f>
        <v>2</v>
      </c>
      <c r="DI37" s="1"/>
      <c r="DJ37" s="1"/>
      <c r="DK37" s="1"/>
      <c r="DL37" s="1"/>
      <c r="DM37" s="1"/>
      <c r="DN37" s="1"/>
      <c r="DO37" s="1"/>
      <c r="DP37" s="1"/>
      <c r="DQ37" s="1"/>
      <c r="DR37" s="1"/>
      <c r="DS37" s="1"/>
      <c r="DT37" s="1"/>
      <c r="DU37" s="1"/>
      <c r="DV37" s="1"/>
      <c r="DW37" s="1"/>
      <c r="DX37" s="1"/>
      <c r="DY37" s="1"/>
      <c r="DZ37" s="1"/>
      <c r="EA37" s="1"/>
      <c r="EB37" s="1"/>
      <c r="EU37" s="122">
        <v>0</v>
      </c>
      <c r="EV37" s="304" t="s">
        <v>159</v>
      </c>
      <c r="EW37" s="1635"/>
      <c r="EX37" s="123" t="str">
        <f>+IF(AND($DH$37=6,$DH$29=1,$DH$28=0),"X","")</f>
        <v/>
      </c>
      <c r="EY37" s="124" t="str">
        <f>+IF(EX37="x",6,"")</f>
        <v/>
      </c>
      <c r="EZ37" s="1638"/>
    </row>
    <row r="38" spans="2:156" ht="30" customHeight="1" x14ac:dyDescent="0.35">
      <c r="B38" s="186" t="s">
        <v>81</v>
      </c>
      <c r="C38" s="288"/>
      <c r="D38" s="289"/>
      <c r="E38" s="289"/>
      <c r="F38" s="289"/>
      <c r="G38" s="289"/>
      <c r="H38" s="289"/>
      <c r="I38" s="289"/>
      <c r="J38" s="289"/>
      <c r="K38" s="289"/>
      <c r="AL38" s="1"/>
      <c r="AM38" s="1" t="s">
        <v>251</v>
      </c>
      <c r="AN38" s="24" t="s">
        <v>255</v>
      </c>
      <c r="AO38" s="1"/>
      <c r="AP38" s="38" t="s">
        <v>195</v>
      </c>
      <c r="AQ38" s="1"/>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s="1"/>
      <c r="CG38" s="1"/>
      <c r="CH38" s="1"/>
      <c r="CI38" s="1"/>
      <c r="CJ38" s="1"/>
      <c r="CK38" s="1"/>
      <c r="CL38" s="1"/>
      <c r="CM38" s="1"/>
      <c r="CN38" s="76"/>
      <c r="CO38" s="14"/>
      <c r="CP38" s="14"/>
      <c r="CQ38" s="14"/>
      <c r="CR38" s="14"/>
      <c r="CS38" s="14"/>
      <c r="CT38" s="14"/>
      <c r="CU38" s="14"/>
      <c r="CV38" s="77"/>
      <c r="CW38" s="1"/>
      <c r="CX38" s="1"/>
      <c r="CY38" s="82"/>
      <c r="CZ38" s="156" t="s">
        <v>227</v>
      </c>
      <c r="DA38" s="103" t="str">
        <f>IFERROR(IF(DA37&lt;-0.03,1,+VLOOKUP(DA37,$CU$24:$CV$33,2,TRUE)),"N.D.")</f>
        <v>N.D.</v>
      </c>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U38" s="122">
        <v>0</v>
      </c>
      <c r="EV38" s="304" t="s">
        <v>160</v>
      </c>
      <c r="EW38" s="1635"/>
      <c r="EX38" s="123" t="str">
        <f ca="1">+IF(AND($DH$37=6,$DH$28=0,$DH$29=0,$DH$30=1),"X","")</f>
        <v/>
      </c>
      <c r="EY38" s="124" t="str">
        <f ca="1">+IF(EX38="x",6,"")</f>
        <v/>
      </c>
      <c r="EZ38" s="1638"/>
    </row>
    <row r="39" spans="2:156" ht="42" customHeight="1" x14ac:dyDescent="0.35">
      <c r="B39" s="193" t="s">
        <v>82</v>
      </c>
      <c r="C39" s="189">
        <f t="shared" ref="C39:K39" si="16">+C40+C41+C45+C46+C42</f>
        <v>0</v>
      </c>
      <c r="D39" s="189">
        <f t="shared" si="16"/>
        <v>0</v>
      </c>
      <c r="E39" s="189">
        <f t="shared" si="16"/>
        <v>0</v>
      </c>
      <c r="F39" s="189">
        <f t="shared" si="16"/>
        <v>0</v>
      </c>
      <c r="G39" s="189">
        <f t="shared" si="16"/>
        <v>0</v>
      </c>
      <c r="H39" s="189">
        <f t="shared" si="16"/>
        <v>0</v>
      </c>
      <c r="I39" s="189">
        <f t="shared" si="16"/>
        <v>0</v>
      </c>
      <c r="J39" s="189">
        <f t="shared" si="16"/>
        <v>0</v>
      </c>
      <c r="K39" s="189">
        <f t="shared" si="16"/>
        <v>0</v>
      </c>
      <c r="N39" s="52"/>
      <c r="O39" s="52"/>
      <c r="P39" s="52"/>
      <c r="Q39" s="52"/>
      <c r="R39" s="52"/>
      <c r="S39" s="52"/>
      <c r="T39" s="52"/>
      <c r="U39" s="52"/>
      <c r="V39" s="52"/>
      <c r="W39" s="52">
        <f>0.08*X18</f>
        <v>0</v>
      </c>
      <c r="X39" s="1315">
        <v>0.09</v>
      </c>
      <c r="Y39" s="52"/>
      <c r="Z39" s="52"/>
      <c r="AA39" s="52"/>
      <c r="AB39" s="52"/>
      <c r="AC39" s="52"/>
      <c r="AD39" s="52"/>
      <c r="AE39" s="52"/>
      <c r="AL39" s="1"/>
      <c r="AM39" s="1" t="s">
        <v>251</v>
      </c>
      <c r="AN39" s="24" t="s">
        <v>256</v>
      </c>
      <c r="AO39" s="1"/>
      <c r="AP39" s="38" t="s">
        <v>195</v>
      </c>
      <c r="AQ39" s="1"/>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s="1"/>
      <c r="CG39" s="1"/>
      <c r="CH39" s="1"/>
      <c r="CI39" s="1"/>
      <c r="CJ39" s="1"/>
      <c r="CK39" s="1"/>
      <c r="CL39" s="1"/>
      <c r="CM39" s="1"/>
      <c r="CN39" s="1658" t="s">
        <v>257</v>
      </c>
      <c r="CO39" s="14" t="s">
        <v>247</v>
      </c>
      <c r="CP39" s="14">
        <f>+IFERROR(+VLOOKUP(CP35,$CO$24:$CP$33,2,TRUE),0)*BH$13</f>
        <v>0</v>
      </c>
      <c r="CQ39" s="14" t="s">
        <v>247</v>
      </c>
      <c r="CR39" s="14">
        <f>IFERROR(+IF(CR35&lt;-0.03,1,+VLOOKUP(CR35,$CQ$24:$CR$33,2,TRUE)),0)*BH$13</f>
        <v>0</v>
      </c>
      <c r="CS39" s="14" t="s">
        <v>247</v>
      </c>
      <c r="CT39" s="14">
        <f>IFERROR(+IF(CT35&lt;0,10,+VLOOKUP(CT35,$CS$25:$CT$33,2,TRUE)),0)*BH$13</f>
        <v>0</v>
      </c>
      <c r="CU39" s="14" t="s">
        <v>247</v>
      </c>
      <c r="CV39" s="77">
        <f>IFERROR(+IF(CV35&lt;-0.03,1,+VLOOKUP(CV35,$CU$24:$CV$33,2,TRUE)),0)*BH$13</f>
        <v>0</v>
      </c>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U39" s="122">
        <v>0</v>
      </c>
      <c r="EV39" s="304" t="s">
        <v>415</v>
      </c>
      <c r="EW39" s="1635"/>
      <c r="EX39" s="123" t="str">
        <f ca="1">+IF(AND($DH$37=6,($DH$28+$DH$29+$DH$30)=0),"X","")</f>
        <v/>
      </c>
      <c r="EY39" s="124" t="str">
        <f ca="1">+IF(EX39="x",6,"")</f>
        <v/>
      </c>
      <c r="EZ39" s="1638"/>
    </row>
    <row r="40" spans="2:156" ht="29.25" customHeight="1" x14ac:dyDescent="0.35">
      <c r="B40" s="186" t="s">
        <v>83</v>
      </c>
      <c r="C40" s="288"/>
      <c r="D40" s="289"/>
      <c r="E40" s="289"/>
      <c r="F40" s="1283"/>
      <c r="G40" s="289"/>
      <c r="H40" s="1284"/>
      <c r="I40" s="1284"/>
      <c r="J40" s="289"/>
      <c r="K40" s="289"/>
      <c r="V40" s="206"/>
      <c r="W40" s="206"/>
      <c r="X40" s="206"/>
      <c r="Y40"/>
      <c r="Z40"/>
      <c r="AA40"/>
      <c r="AB40"/>
      <c r="AL40" s="1"/>
      <c r="AM40" s="1" t="s">
        <v>251</v>
      </c>
      <c r="AN40" s="24" t="s">
        <v>258</v>
      </c>
      <c r="AO40" s="1"/>
      <c r="AP40" s="38" t="s">
        <v>195</v>
      </c>
      <c r="AQ40" s="1"/>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s="1"/>
      <c r="CG40" s="1"/>
      <c r="CH40" s="1"/>
      <c r="CI40" s="1"/>
      <c r="CJ40" s="1"/>
      <c r="CK40" s="1"/>
      <c r="CL40" s="1"/>
      <c r="CM40" s="1"/>
      <c r="CN40" s="1658"/>
      <c r="CO40" s="14" t="s">
        <v>249</v>
      </c>
      <c r="CP40" s="14">
        <f>+IFERROR(+VLOOKUP(CP36,$CO$24:$CP$33,2,TRUE),0)*BI$13</f>
        <v>0</v>
      </c>
      <c r="CQ40" s="14" t="s">
        <v>249</v>
      </c>
      <c r="CR40" s="14">
        <f>IFERROR(+IF(CR36&lt;-0.03,1,+VLOOKUP(CR36,$CQ$24:$CR$33,2,TRUE)),0)*BI$13</f>
        <v>0</v>
      </c>
      <c r="CS40" s="14" t="s">
        <v>249</v>
      </c>
      <c r="CT40" s="14">
        <f>IFERROR(+IF(CT36&lt;0,10,+VLOOKUP(CT36,$CS$25:$CT$33,2,TRUE)),0)*BI$13</f>
        <v>0</v>
      </c>
      <c r="CU40" s="14" t="s">
        <v>249</v>
      </c>
      <c r="CV40" s="77">
        <f>IFERROR(+IF(CV36&lt;-0.03,1,+VLOOKUP(CV36,$CU$24:$CV$33,2,TRUE)),0)*BI$13</f>
        <v>0</v>
      </c>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U40" s="122" t="s">
        <v>145</v>
      </c>
      <c r="EV40" s="304" t="s">
        <v>416</v>
      </c>
      <c r="EW40" s="1635"/>
      <c r="EX40" s="123" t="str">
        <f>+IF($DH$37=5,"X","")</f>
        <v/>
      </c>
      <c r="EY40" s="124" t="str">
        <f>+IF(EX40="x",4,"")</f>
        <v/>
      </c>
      <c r="EZ40" s="1638"/>
    </row>
    <row r="41" spans="2:156" ht="25" customHeight="1" thickBot="1" x14ac:dyDescent="0.4">
      <c r="B41" s="186" t="s">
        <v>84</v>
      </c>
      <c r="C41" s="288"/>
      <c r="D41" s="289"/>
      <c r="E41" s="289"/>
      <c r="F41" s="289"/>
      <c r="G41" s="289"/>
      <c r="H41" s="289"/>
      <c r="I41" s="289"/>
      <c r="J41" s="289"/>
      <c r="K41" s="289"/>
      <c r="N41" s="207" t="s">
        <v>85</v>
      </c>
      <c r="O41" s="207" t="s">
        <v>86</v>
      </c>
      <c r="P41" s="207" t="s">
        <v>87</v>
      </c>
      <c r="Q41" s="207" t="s">
        <v>88</v>
      </c>
      <c r="R41" s="207" t="str">
        <f>IF(MAX(N14:AE14)=3, "Anno a regime investimento","Anno 3°")</f>
        <v>Anno 3°</v>
      </c>
      <c r="S41" s="207" t="str">
        <f>IF(MAX(N14:AE14)=4,"Anno a regime investimento",IF(MAX(N14:AE14)&lt;4,"","Anno 4°"))</f>
        <v>Anno 4°</v>
      </c>
      <c r="T41" s="207" t="str">
        <f>IF(MAX(N14:AE14)=5,"Anno a regime investimento",IF(MAX(N14:AE14)&lt;5,"","Anno 5°"))</f>
        <v>Anno 5°</v>
      </c>
      <c r="Y41" s="157" t="s">
        <v>9</v>
      </c>
      <c r="Z41" s="1683" t="s">
        <v>10</v>
      </c>
      <c r="AA41" s="1684"/>
      <c r="AB41" s="158"/>
      <c r="AL41" s="1"/>
      <c r="AM41" s="1" t="s">
        <v>251</v>
      </c>
      <c r="AN41" s="24" t="s">
        <v>259</v>
      </c>
      <c r="AO41" s="1"/>
      <c r="AP41" s="38" t="s">
        <v>195</v>
      </c>
      <c r="AQ41" s="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s="1"/>
      <c r="CG41" s="1"/>
      <c r="CH41" s="1"/>
      <c r="CI41" s="1"/>
      <c r="CJ41" s="1"/>
      <c r="CK41" s="1"/>
      <c r="CL41" s="1"/>
      <c r="CM41" s="1"/>
      <c r="CN41" s="1658"/>
      <c r="CO41" s="14" t="s">
        <v>253</v>
      </c>
      <c r="CP41" s="14">
        <f>+IFERROR(+VLOOKUP(CP37,$CO$24:$CP$33,2,TRUE),0)*BJ$13</f>
        <v>0</v>
      </c>
      <c r="CQ41" s="14" t="s">
        <v>253</v>
      </c>
      <c r="CR41" s="14">
        <f>IFERROR(+IF(CR37&lt;-0.03,1,+VLOOKUP(CR37,$CQ$24:$CR$33,2,TRUE)),0)*BJ$13</f>
        <v>0</v>
      </c>
      <c r="CS41" s="14" t="s">
        <v>253</v>
      </c>
      <c r="CT41" s="14">
        <f>IFERROR(+IF(CT37&lt;0,10,+VLOOKUP(CT37,$CS$25:$CT$33,2,TRUE)),0)*BJ$13</f>
        <v>0</v>
      </c>
      <c r="CU41" s="14" t="s">
        <v>253</v>
      </c>
      <c r="CV41" s="77">
        <f>IFERROR(+IF(CV37&lt;-0.03,1,+VLOOKUP(CV37,$CU$24:$CV$33,2,TRUE)),0)*BJ$13</f>
        <v>0</v>
      </c>
      <c r="CW41" s="1" t="s">
        <v>260</v>
      </c>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U41" s="122" t="s">
        <v>145</v>
      </c>
      <c r="EV41" s="304" t="s">
        <v>163</v>
      </c>
      <c r="EW41" s="1635"/>
      <c r="EX41" s="123" t="str">
        <f>+IF($DH$37=4,"X","")</f>
        <v/>
      </c>
      <c r="EY41" s="124" t="str">
        <f>+IF(EX41="x",4,"")</f>
        <v/>
      </c>
      <c r="EZ41" s="1638"/>
    </row>
    <row r="42" spans="2:156" ht="25" customHeight="1" thickBot="1" x14ac:dyDescent="0.4">
      <c r="B42" s="186" t="s">
        <v>89</v>
      </c>
      <c r="C42" s="189">
        <f t="shared" ref="C42:K42" si="17">+SUM(C43:C44)</f>
        <v>0</v>
      </c>
      <c r="D42" s="189">
        <f t="shared" si="17"/>
        <v>0</v>
      </c>
      <c r="E42" s="189">
        <f t="shared" si="17"/>
        <v>0</v>
      </c>
      <c r="F42" s="189">
        <f t="shared" si="17"/>
        <v>0</v>
      </c>
      <c r="G42" s="189">
        <f t="shared" si="17"/>
        <v>0</v>
      </c>
      <c r="H42" s="189">
        <f t="shared" si="17"/>
        <v>0</v>
      </c>
      <c r="I42" s="189">
        <f t="shared" si="17"/>
        <v>0</v>
      </c>
      <c r="J42" s="189">
        <f t="shared" si="17"/>
        <v>0</v>
      </c>
      <c r="K42" s="189">
        <f t="shared" si="17"/>
        <v>0</v>
      </c>
      <c r="M42" s="175" t="s">
        <v>90</v>
      </c>
      <c r="Y42" s="1685" t="s">
        <v>11</v>
      </c>
      <c r="Z42" s="159">
        <v>1</v>
      </c>
      <c r="AA42" s="159">
        <v>2</v>
      </c>
      <c r="AB42" s="160" t="s">
        <v>12</v>
      </c>
      <c r="AL42" s="1"/>
      <c r="AM42" s="1" t="s">
        <v>251</v>
      </c>
      <c r="AN42" s="24" t="s">
        <v>261</v>
      </c>
      <c r="AO42" s="1"/>
      <c r="AP42" s="38" t="s">
        <v>195</v>
      </c>
      <c r="AQ42" s="1"/>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s="1"/>
      <c r="CG42" s="1"/>
      <c r="CH42" s="1"/>
      <c r="CI42" s="1"/>
      <c r="CJ42" s="1"/>
      <c r="CK42" s="1"/>
      <c r="CL42" s="1"/>
      <c r="CM42" s="1"/>
      <c r="CN42" s="70" t="s">
        <v>262</v>
      </c>
      <c r="CO42" s="79"/>
      <c r="CP42" s="100">
        <f>SUM(CP39:CP41)</f>
        <v>0</v>
      </c>
      <c r="CQ42" s="71"/>
      <c r="CR42" s="100">
        <f>SUM(CR39:CR41)</f>
        <v>0</v>
      </c>
      <c r="CS42" s="79"/>
      <c r="CT42" s="100">
        <f>SUM(CT39:CT41)</f>
        <v>0</v>
      </c>
      <c r="CU42" s="71"/>
      <c r="CV42" s="72">
        <f>SUM(CV39:CV41)</f>
        <v>0</v>
      </c>
      <c r="CW42" s="108">
        <f>_xlfn.FLOOR.MATH(+(CP42+CR42+CT42+CV42)/4)</f>
        <v>0</v>
      </c>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U42" s="122" t="s">
        <v>145</v>
      </c>
      <c r="EV42" s="304" t="s">
        <v>164</v>
      </c>
      <c r="EW42" s="1635"/>
      <c r="EX42" s="123" t="str">
        <f ca="1">+IF(AND(COUNT(EY32:EY41)=0,EY43=""),"X","")</f>
        <v/>
      </c>
      <c r="EY42" s="124" t="str">
        <f ca="1">+IF(EX42="x",3,"")</f>
        <v/>
      </c>
      <c r="EZ42" s="1638"/>
    </row>
    <row r="43" spans="2:156" ht="25" customHeight="1" thickBot="1" x14ac:dyDescent="0.4">
      <c r="B43" s="186" t="s">
        <v>91</v>
      </c>
      <c r="C43" s="1283"/>
      <c r="D43" s="1284"/>
      <c r="E43" s="289"/>
      <c r="F43" s="1283"/>
      <c r="G43" s="289"/>
      <c r="H43" s="289"/>
      <c r="I43" s="289"/>
      <c r="J43" s="289"/>
      <c r="K43" s="289"/>
      <c r="M43" s="208" t="s">
        <v>92</v>
      </c>
      <c r="N43" s="209">
        <f ca="1">IFERROR(OFFSET(M14,MATCH(M37,M15:M37,0),MATCH(-1,N14:AE14,0)),0)</f>
        <v>0</v>
      </c>
      <c r="O43" s="210">
        <f ca="1">IFERROR(OFFSET(M14,MATCH(M37,M15:M37,0),MATCH(0,N14:AE14,0)),0)</f>
        <v>0</v>
      </c>
      <c r="P43" s="210">
        <f ca="1">IFERROR(OFFSET(M14,MATCH(M37,M15:M37,0),MATCH(1,N14:AE14,0)),0)</f>
        <v>0</v>
      </c>
      <c r="Q43" s="210">
        <f ca="1">IFERROR(OFFSET(M14,MATCH(M37,M15:M37,0),MATCH(2,N14:AE14,0)),0)</f>
        <v>0</v>
      </c>
      <c r="R43" s="210">
        <f ca="1">IFERROR(OFFSET(M14,MATCH(M37,M15:M37,0),MATCH(3,N14:AE14,0)),0)</f>
        <v>0</v>
      </c>
      <c r="S43" s="210">
        <f ca="1">IFERROR(OFFSET(M14,MATCH(M37,M15:M37,0),MATCH(4,N14:AE14,0)),0)</f>
        <v>0</v>
      </c>
      <c r="T43" s="211">
        <f ca="1">IFERROR(OFFSET(M14,MATCH(M37,M15:M37,0),MATCH(5,N14:AE14,0)),0)</f>
        <v>0</v>
      </c>
      <c r="Y43" s="1686"/>
      <c r="Z43" s="161" t="s">
        <v>13</v>
      </c>
      <c r="AA43" s="161" t="s">
        <v>13</v>
      </c>
      <c r="AB43" s="162" t="s">
        <v>13</v>
      </c>
      <c r="AL43" s="1"/>
      <c r="AM43" s="1" t="s">
        <v>251</v>
      </c>
      <c r="AN43" s="24" t="s">
        <v>263</v>
      </c>
      <c r="AO43" s="1"/>
      <c r="AP43" s="38" t="s">
        <v>195</v>
      </c>
      <c r="AQ43" s="1"/>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s="1"/>
      <c r="CG43" s="1"/>
      <c r="CH43" s="1"/>
      <c r="CI43" s="1"/>
      <c r="CJ43" s="1"/>
      <c r="CK43" s="1"/>
      <c r="CL43" s="1"/>
      <c r="CM43" s="1"/>
      <c r="CN43" s="1"/>
      <c r="CO43" s="1"/>
      <c r="CP43" s="14"/>
      <c r="CQ43" s="14"/>
      <c r="CR43" s="14"/>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U43" s="126" t="s">
        <v>151</v>
      </c>
      <c r="EV43" s="305" t="s">
        <v>165</v>
      </c>
      <c r="EW43" s="1636"/>
      <c r="EX43" s="127" t="str">
        <f>+IF($DH$37=2,"X","")</f>
        <v>X</v>
      </c>
      <c r="EY43" s="128">
        <f>+IF(EX43="x",2,"")</f>
        <v>2</v>
      </c>
      <c r="EZ43" s="1639"/>
    </row>
    <row r="44" spans="2:156" ht="34.5" customHeight="1" thickBot="1" x14ac:dyDescent="0.4">
      <c r="B44" s="186" t="s">
        <v>93</v>
      </c>
      <c r="C44" s="288"/>
      <c r="D44" s="289"/>
      <c r="E44" s="289"/>
      <c r="F44" s="1283"/>
      <c r="G44" s="289"/>
      <c r="H44" s="289"/>
      <c r="I44" s="289"/>
      <c r="J44" s="289"/>
      <c r="K44" s="289"/>
      <c r="M44" s="212" t="s">
        <v>94</v>
      </c>
      <c r="N44" s="213">
        <f ca="1">IFERROR(OFFSET(M14,MATCH(M26,M15:M37,0),MATCH(-1,N14:AE14,0)),0)</f>
        <v>0</v>
      </c>
      <c r="O44" s="214">
        <f ca="1">IFERROR(OFFSET(M14,MATCH(M26,M15:M37,0),MATCH(0,N14:AE14,0)),0)</f>
        <v>0</v>
      </c>
      <c r="P44" s="214">
        <f ca="1">IFERROR(OFFSET(M14,MATCH(M26,M15:M37,0),MATCH(1,N14:AE14,0)),0)</f>
        <v>0</v>
      </c>
      <c r="Q44" s="214">
        <f ca="1">IFERROR(OFFSET(M14,MATCH(M26,M15:M37,0),MATCH(2,N14:AE14,0)),0)</f>
        <v>0</v>
      </c>
      <c r="R44" s="214">
        <f ca="1">IFERROR(OFFSET(M14,MATCH(M26,M15:M37,0),MATCH(3,N14:AE14,0)),0)</f>
        <v>0</v>
      </c>
      <c r="S44" s="214">
        <f ca="1">IFERROR(OFFSET(M14,MATCH(M26,M15:M37,0),MATCH(4,N14:AE14,0)),0)</f>
        <v>0</v>
      </c>
      <c r="T44" s="215">
        <f ca="1">IFERROR(OFFSET(M14,MATCH(M26,M15:M37,0),MATCH(5,N14:AE14,0)),0)</f>
        <v>0</v>
      </c>
      <c r="Y44" s="163" t="s">
        <v>14</v>
      </c>
      <c r="Z44" s="1246">
        <v>0</v>
      </c>
      <c r="AA44" s="1247">
        <v>0</v>
      </c>
      <c r="AB44" s="260">
        <f>SUM(Z44:AA44)</f>
        <v>0</v>
      </c>
      <c r="AC44" s="1320" t="str" cm="1">
        <f t="array" ref="AC44">+IF(AB44=0,"",+IF('Dati riepilogativi'!B2="Capo II",IF(AND(('Programma di spesa ammesso'!$D$10-SUMIF(Macrovoce,"Non richiesto da realizzare",Realizzato))&gt;'Programma di spesa ammesso'!$B$10,AB44&lt;&gt;'Programma di spesa ammesso'!$B$10),_xlfn.CONCAT("IL VALORE DEVE ESSERE PARI ALL'IMPORTO RICHIESTO, OVVERO ", +TEXT('Programma di spesa ammesso'!B10,"€ #.##0,00")),IF(AND(('Programma di spesa ammesso'!D10-SUMIF(Macrovoce,"Non richiesto da realizzare",Realizzato))&lt;='Programma di spesa ammesso'!B10,Simulazione!AB44&lt;&gt;('Programma di spesa ammesso'!$D$10-SUMIF(Macrovoce,"Non richiesto da realizzare",Realizzato))),_xlfn.CONCAT("IL VALORE DEVE ESSERE PARI ALL'IMPORTO DA REALIZZARE AL NETTO DELL'EVENTUALE DA REALIZZARE NON RICHIESTO, OVVERO ",TEXT(('Programma di spesa ammesso'!$D$10-SUMIF(Macrovoce,"Non richiesto da realizzare",Realizzato)),"€ #.##0,00")),"")),IF(AND(('Programma di spesa ammesso'!$D$21-SUMIF(Macrovoce,"Non richiesto da realizzare",Realizzato))&gt;'Programma di spesa ammesso'!$B$21,AB44&lt;&gt;'Programma di spesa ammesso'!$B$21),_xlfn.CONCAT("IL VALORE DEVE ESSERE PARI ALL'IMPORTO RICHIESTO, OVVERO ",+TEXT('Programma di spesa ammesso'!B21,"€ #.##0,00")),IF(AND(('Programma di spesa ammesso'!$D$21--SUMIF(Macrovoce,"Non richiesto da realizzare",Realizzato))&lt;='Programma di spesa ammesso'!$B$21,AB44&lt;&gt;('Programma di spesa ammesso'!D21-SUMIF(Macrovoce,"Non richiesto da realizzare",Realizzato))),_xlfn.CONCAT("IL VALORE DEVE ESSERE PARI ALL'IMPORTO DA REALIZZARE AL NETTO DELL'EVENTUALE DA REALIZZARE NON RICHIESTO, OVVERO ",+TEXT(('Programma di spesa ammesso'!D21-SUMIF(Macrovoce,"Non richiesto da realizzare",Realizzato)),"€ #.##0,00")),""))))</f>
        <v/>
      </c>
      <c r="AD44" s="51">
        <f>IFERROR(AA44/AB44,0)</f>
        <v>0</v>
      </c>
      <c r="AL44" s="1"/>
      <c r="AM44" s="1" t="s">
        <v>251</v>
      </c>
      <c r="AN44" s="24" t="s">
        <v>264</v>
      </c>
      <c r="AO44" s="1"/>
      <c r="AP44" s="38" t="s">
        <v>195</v>
      </c>
      <c r="AQ44" s="1"/>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row>
    <row r="45" spans="2:156" ht="36" customHeight="1" thickBot="1" x14ac:dyDescent="0.4">
      <c r="B45" s="186" t="s">
        <v>95</v>
      </c>
      <c r="C45" s="288"/>
      <c r="D45" s="289"/>
      <c r="E45" s="289"/>
      <c r="F45" s="1283"/>
      <c r="G45" s="289"/>
      <c r="H45" s="289"/>
      <c r="I45" s="289"/>
      <c r="J45" s="289"/>
      <c r="K45" s="289"/>
      <c r="M45" s="216" t="s">
        <v>96</v>
      </c>
      <c r="N45" s="213">
        <f ca="1">IFERROR(OFFSET(M14,MATCH(M28,M15:M37,0),MATCH(-1,N14:AE14,0)),0)</f>
        <v>0</v>
      </c>
      <c r="O45" s="214">
        <f ca="1">IFERROR(OFFSET(M14,MATCH(M28,M15:M37,0),MATCH(0,N14:AE14,0)),0)</f>
        <v>0</v>
      </c>
      <c r="P45" s="214">
        <f ca="1">IFERROR(OFFSET(M14,MATCH(M28,M15:M37,0),MATCH(1,N14:AE14,0)),0)</f>
        <v>0</v>
      </c>
      <c r="Q45" s="214">
        <f ca="1">IFERROR(OFFSET(M14,MATCH(M28,M15:M37,0),MATCH(2,N14:AE14,0)),0)</f>
        <v>0</v>
      </c>
      <c r="R45" s="214">
        <f ca="1">IFERROR(OFFSET(M14,MATCH(M28,M15:M37,0),MATCH(3,N14:AE14,0)),0)</f>
        <v>0</v>
      </c>
      <c r="S45" s="214">
        <f ca="1">IFERROR(OFFSET(M14,MATCH(M28,M15:M37,0),MATCH(4,N14:AE14,0)),0)</f>
        <v>0</v>
      </c>
      <c r="T45" s="215">
        <f ca="1">IFERROR(OFFSET(M14,MATCH(M28,M15:M37,0),MATCH(5,N14:AE14,0)),0)</f>
        <v>0</v>
      </c>
      <c r="Y45" s="163" t="s">
        <v>417</v>
      </c>
      <c r="Z45" s="1246">
        <v>0</v>
      </c>
      <c r="AA45" s="1247">
        <v>0</v>
      </c>
      <c r="AB45" s="260">
        <f t="shared" ref="AB45:AB46" si="18">SUM(Z45:AA45)</f>
        <v>0</v>
      </c>
      <c r="AC45" s="1320" t="str" cm="1">
        <f t="array" aca="1" ref="AC45" ca="1">+IF(AB45=""," ",+IF('Dati riepilogativi'!B2="Capo II",IF(AND(('Programma di spesa ammesso'!$D$10-SUMIF(Macrovoce,"Non richiesto da realizzare",Realizzato))&gt;'Programma di spesa ammesso'!$B$10,AB45&lt;&gt;(('Programma di spesa ammesso'!D10-'Programma di spesa ammesso'!B10))),_xlfn.CONCAT("IL VALORE DEVE ESSERE PARI ALLA DIFFERENZA TRA DA REALIZZARE E IL RICHIESTO, OVVERO ",+TEXT('Programma di spesa ammesso'!D10-'Programma di spesa ammesso'!B10,"€ #.##0,00")),IF(AND(('Programma di spesa ammesso'!D10-SUMIF(Macrovoce,"Non richiesto da realizzare",Realizzato))&lt;='Programma di spesa ammesso'!B10,AB45&lt;&gt;+SUMIF(Macrovoce,"Non richiesto da realizzare",Realizzato)),_xlfn.CONCAT("IL VALORE DEVE ESSERE PARI AD UN EVENTUALE DA REALIZZARE NON RICHIESTO ALTRIMENTI 0, NEL CASO SPECIFICO PARI A ",+TEXT(SUMIF(Macrovoce,"Non richiesto da realizzare",Realizzato),"€ #.##0,00")),"")),IF(AND(('Programma di spesa ammesso'!$D$21-SUMIF(Macrovoce,"Non richiesto da realizzare",Realizzato))&gt;'Programma di spesa ammesso'!$B$21,AB45&lt;&gt;(('Programma di spesa ammesso'!D21-'Programma di spesa ammesso'!B21))),_xlfn.CONCAT("IL VALORE DEVE ESSERE PARI ALLA DIFFERENZA TRA DA REALIZZARE E IL RICHIESTO, OVVERO ",+TEXT('Programma di spesa ammesso'!D21-'Programma di spesa ammesso'!B21,"€ #.##0,00")),IF(AND(('Programma di spesa ammesso'!$D$21-SUMIF(Macrovoce,"Non richiesto da realizzare",Realizzato))&lt;='Programma di spesa ammesso'!$B$21,AB45&lt;&gt;+SUMIF(Macrovoce,"Non richiesto da realizzare",Realizzato)),_xlfn.CONCAT("IL VALORE DEVE ESSERE PARI AD UN EVENTUALE DA REALIZZARE NON RICHIESTO ALTRIMENTI 0, NEL CASO SPECIFICO PARI A ",TEXT(SUMIF(Macrovoce,"Non richiesto da realizzare",Realizzato),"€ #.##0,00")),""))))</f>
        <v>IL VALORE DEVE ESSERE PARI ALLA DIFFERENZA TRA DA REALIZZARE E IL RICHIESTO, OVVERO € 10.000,00</v>
      </c>
      <c r="AD45" s="1319"/>
      <c r="AL45" s="1"/>
      <c r="AM45" s="1" t="s">
        <v>251</v>
      </c>
      <c r="AN45" s="24" t="s">
        <v>265</v>
      </c>
      <c r="AO45" s="1"/>
      <c r="AP45" s="38" t="s">
        <v>195</v>
      </c>
      <c r="AQ45" s="1"/>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U45" s="1673" t="s">
        <v>418</v>
      </c>
      <c r="EV45" s="1673"/>
      <c r="EW45" s="1673"/>
      <c r="EX45" s="1674">
        <v>6</v>
      </c>
    </row>
    <row r="46" spans="2:156" ht="15" customHeight="1" thickBot="1" x14ac:dyDescent="0.4">
      <c r="B46" s="186" t="s">
        <v>97</v>
      </c>
      <c r="C46" s="288"/>
      <c r="D46" s="289"/>
      <c r="E46" s="289"/>
      <c r="F46" s="1283"/>
      <c r="G46" s="289"/>
      <c r="H46" s="289"/>
      <c r="I46" s="289"/>
      <c r="J46" s="289"/>
      <c r="K46" s="289"/>
      <c r="M46" s="217" t="s">
        <v>98</v>
      </c>
      <c r="N46" s="53">
        <f t="shared" ref="N46:T46" ca="1" si="19">SUM(N43:N45)</f>
        <v>0</v>
      </c>
      <c r="O46" s="54">
        <f t="shared" ca="1" si="19"/>
        <v>0</v>
      </c>
      <c r="P46" s="54">
        <f t="shared" ca="1" si="19"/>
        <v>0</v>
      </c>
      <c r="Q46" s="54">
        <f t="shared" ca="1" si="19"/>
        <v>0</v>
      </c>
      <c r="R46" s="54">
        <f t="shared" ca="1" si="19"/>
        <v>0</v>
      </c>
      <c r="S46" s="54">
        <f t="shared" ca="1" si="19"/>
        <v>0</v>
      </c>
      <c r="T46" s="55">
        <f t="shared" ca="1" si="19"/>
        <v>0</v>
      </c>
      <c r="Y46" s="163" t="s">
        <v>16</v>
      </c>
      <c r="Z46" s="1246"/>
      <c r="AA46" s="1248"/>
      <c r="AB46" s="260">
        <f t="shared" si="18"/>
        <v>0</v>
      </c>
      <c r="AC46" s="1261" t="str">
        <f>IF('Dati riepilogativi'!B2="Capo II",IF(AB46&lt;&gt;'Programma di spesa ammesso'!F11,"VALORE DEVE ESSERE PARI AL CAPITALE CIRCOLANTE",""),IF(AB46&lt;&gt;0,"CAPO III NON PREVISTO",""))</f>
        <v/>
      </c>
      <c r="AL46" s="1"/>
      <c r="AM46" s="1" t="s">
        <v>251</v>
      </c>
      <c r="AN46" s="24" t="s">
        <v>266</v>
      </c>
      <c r="AO46" s="1"/>
      <c r="AP46" s="38" t="s">
        <v>195</v>
      </c>
      <c r="AQ46" s="1"/>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U46" s="1673"/>
      <c r="EV46" s="1673"/>
      <c r="EW46" s="1673"/>
      <c r="EX46" s="1674"/>
    </row>
    <row r="47" spans="2:156" ht="15" customHeight="1" thickBot="1" x14ac:dyDescent="0.4">
      <c r="B47" s="218" t="s">
        <v>99</v>
      </c>
      <c r="C47" s="288"/>
      <c r="D47" s="289"/>
      <c r="E47" s="289"/>
      <c r="F47" s="1283"/>
      <c r="G47" s="289"/>
      <c r="H47" s="289"/>
      <c r="I47" s="289"/>
      <c r="J47" s="289"/>
      <c r="K47" s="289"/>
      <c r="M47" s="212" t="s">
        <v>100</v>
      </c>
      <c r="N47" s="1286"/>
      <c r="O47" s="1287"/>
      <c r="P47" s="1287"/>
      <c r="Q47" s="293"/>
      <c r="R47" s="293"/>
      <c r="S47" s="293"/>
      <c r="T47" s="294"/>
      <c r="Y47" s="164" t="s">
        <v>17</v>
      </c>
      <c r="Z47" s="1246"/>
      <c r="AA47" s="1247"/>
      <c r="AB47" s="260">
        <f>SUM(Z47:AA47)</f>
        <v>0</v>
      </c>
      <c r="AL47" s="1"/>
      <c r="AM47" s="1" t="s">
        <v>251</v>
      </c>
      <c r="AN47" s="24" t="s">
        <v>267</v>
      </c>
      <c r="AO47" s="1"/>
      <c r="AP47" s="38" t="s">
        <v>195</v>
      </c>
      <c r="AQ47" s="1"/>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U47" s="1673"/>
      <c r="EV47" s="1673"/>
      <c r="EW47" s="1673"/>
      <c r="EX47" s="1674"/>
    </row>
    <row r="48" spans="2:156" ht="15" customHeight="1" thickBot="1" x14ac:dyDescent="0.4">
      <c r="B48" s="175" t="s">
        <v>101</v>
      </c>
      <c r="C48" s="219">
        <f t="shared" ref="C48:K48" si="20">+C49+C52+C53+C54+C67</f>
        <v>0</v>
      </c>
      <c r="D48" s="178">
        <f t="shared" si="20"/>
        <v>0</v>
      </c>
      <c r="E48" s="178">
        <f t="shared" si="20"/>
        <v>0</v>
      </c>
      <c r="F48" s="178">
        <f t="shared" si="20"/>
        <v>0</v>
      </c>
      <c r="G48" s="178">
        <f t="shared" si="20"/>
        <v>0</v>
      </c>
      <c r="H48" s="178">
        <f t="shared" si="20"/>
        <v>0</v>
      </c>
      <c r="I48" s="178">
        <f t="shared" si="20"/>
        <v>0</v>
      </c>
      <c r="J48" s="178">
        <f t="shared" si="20"/>
        <v>0</v>
      </c>
      <c r="K48" s="178">
        <f t="shared" si="20"/>
        <v>0</v>
      </c>
      <c r="M48" s="217" t="s">
        <v>102</v>
      </c>
      <c r="N48" s="213">
        <f t="shared" ref="N48:T48" si="21">-N47</f>
        <v>0</v>
      </c>
      <c r="O48" s="214">
        <f t="shared" si="21"/>
        <v>0</v>
      </c>
      <c r="P48" s="214">
        <f t="shared" si="21"/>
        <v>0</v>
      </c>
      <c r="Q48" s="214">
        <f t="shared" si="21"/>
        <v>0</v>
      </c>
      <c r="R48" s="214">
        <f t="shared" si="21"/>
        <v>0</v>
      </c>
      <c r="S48" s="214">
        <f t="shared" si="21"/>
        <v>0</v>
      </c>
      <c r="T48" s="215">
        <f t="shared" si="21"/>
        <v>0</v>
      </c>
      <c r="Y48" s="165" t="s">
        <v>18</v>
      </c>
      <c r="Z48" s="261">
        <f>+Z44+Z45+Z46+Z47</f>
        <v>0</v>
      </c>
      <c r="AA48" s="261">
        <f>+AA44+AA45+AA46+AA47</f>
        <v>0</v>
      </c>
      <c r="AB48" s="262">
        <f>SUM(AB44:AB47)</f>
        <v>0</v>
      </c>
      <c r="AL48" s="1"/>
      <c r="AM48" s="1" t="s">
        <v>251</v>
      </c>
      <c r="AN48" s="24" t="s">
        <v>268</v>
      </c>
      <c r="AO48" s="1"/>
      <c r="AP48" s="38" t="s">
        <v>195</v>
      </c>
      <c r="AQ48" s="1"/>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row>
    <row r="49" spans="2:155" ht="28" customHeight="1" thickBot="1" x14ac:dyDescent="0.4">
      <c r="B49" s="179" t="s">
        <v>103</v>
      </c>
      <c r="C49" s="189">
        <f t="shared" ref="C49:K49" si="22">+C50+C51</f>
        <v>0</v>
      </c>
      <c r="D49" s="190">
        <f t="shared" si="22"/>
        <v>0</v>
      </c>
      <c r="E49" s="190">
        <f t="shared" si="22"/>
        <v>0</v>
      </c>
      <c r="F49" s="190">
        <f t="shared" si="22"/>
        <v>0</v>
      </c>
      <c r="G49" s="190">
        <f t="shared" si="22"/>
        <v>0</v>
      </c>
      <c r="H49" s="190">
        <f t="shared" si="22"/>
        <v>0</v>
      </c>
      <c r="I49" s="190">
        <f t="shared" si="22"/>
        <v>0</v>
      </c>
      <c r="J49" s="190">
        <f t="shared" si="22"/>
        <v>0</v>
      </c>
      <c r="K49" s="190">
        <f t="shared" si="22"/>
        <v>0</v>
      </c>
      <c r="M49" s="220" t="s">
        <v>104</v>
      </c>
      <c r="N49" s="1630"/>
      <c r="O49" s="1631"/>
      <c r="P49" s="1631"/>
      <c r="Q49" s="1631"/>
      <c r="R49" s="1631"/>
      <c r="S49" s="1631"/>
      <c r="T49" s="1632"/>
      <c r="Y49" s="1687"/>
      <c r="Z49" s="1688"/>
      <c r="AA49" s="1688"/>
      <c r="AB49" s="1689"/>
      <c r="AL49" s="1"/>
      <c r="AM49" s="1" t="s">
        <v>251</v>
      </c>
      <c r="AN49" s="24" t="s">
        <v>270</v>
      </c>
      <c r="AO49" s="1"/>
      <c r="AP49" s="38" t="s">
        <v>195</v>
      </c>
      <c r="AQ49" s="1"/>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s="1"/>
      <c r="CG49" s="1"/>
      <c r="CH49" s="1"/>
      <c r="CI49" s="1"/>
      <c r="CJ49" s="1"/>
      <c r="CK49" s="1"/>
      <c r="CL49" s="1"/>
      <c r="CM49" s="1"/>
      <c r="CN49" s="251" t="s">
        <v>34</v>
      </c>
      <c r="CO49" s="1654" t="s">
        <v>269</v>
      </c>
      <c r="CP49" s="1654"/>
      <c r="CQ49" s="253" t="str">
        <f>IF(E50&lt;'Dati riepilogativi'!B11*0.5,"Non accoglibile","Accoglibile")</f>
        <v>Accoglibile</v>
      </c>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X49"/>
      <c r="EY49"/>
    </row>
    <row r="50" spans="2:155" ht="15" customHeight="1" thickBot="1" x14ac:dyDescent="0.4">
      <c r="B50" s="186" t="s">
        <v>105</v>
      </c>
      <c r="C50" s="288"/>
      <c r="D50" s="289"/>
      <c r="E50" s="289"/>
      <c r="F50" s="1283"/>
      <c r="G50" s="289"/>
      <c r="H50" s="289"/>
      <c r="I50" s="289"/>
      <c r="J50" s="289"/>
      <c r="K50" s="289"/>
      <c r="M50" s="221" t="s">
        <v>106</v>
      </c>
      <c r="N50" s="295"/>
      <c r="O50" s="296"/>
      <c r="P50" s="296"/>
      <c r="Q50" s="1288"/>
      <c r="R50" s="296"/>
      <c r="S50" s="296"/>
      <c r="T50" s="297"/>
      <c r="Y50" s="166" t="s">
        <v>19</v>
      </c>
      <c r="Z50" s="263">
        <f>SUM(Z51:Z55)</f>
        <v>0</v>
      </c>
      <c r="AA50" s="263">
        <f>SUM(AA51:AA55)</f>
        <v>0</v>
      </c>
      <c r="AB50" s="263">
        <f>SUM(AB51:AB55)</f>
        <v>0</v>
      </c>
      <c r="AL50" s="1"/>
      <c r="AM50" s="1" t="s">
        <v>251</v>
      </c>
      <c r="AN50" s="24" t="s">
        <v>271</v>
      </c>
      <c r="AO50" s="1"/>
      <c r="AP50" s="38" t="s">
        <v>195</v>
      </c>
      <c r="AQ50" s="1"/>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row>
    <row r="51" spans="2:155" ht="15" customHeight="1" thickBot="1" x14ac:dyDescent="0.4">
      <c r="B51" s="186" t="s">
        <v>107</v>
      </c>
      <c r="C51" s="288"/>
      <c r="D51" s="289"/>
      <c r="E51" s="289"/>
      <c r="F51" s="1283"/>
      <c r="G51" s="289"/>
      <c r="H51" s="289"/>
      <c r="I51" s="289"/>
      <c r="J51" s="289"/>
      <c r="K51" s="289"/>
      <c r="M51" s="221" t="s">
        <v>108</v>
      </c>
      <c r="N51" s="295"/>
      <c r="O51" s="296"/>
      <c r="P51" s="296"/>
      <c r="Q51" s="1288"/>
      <c r="R51" s="296"/>
      <c r="S51" s="296"/>
      <c r="T51" s="297"/>
      <c r="Y51" s="164" t="s">
        <v>20</v>
      </c>
      <c r="Z51" s="1249"/>
      <c r="AA51" s="1250"/>
      <c r="AB51" s="263">
        <f>SUM(Z51:AA51)</f>
        <v>0</v>
      </c>
      <c r="AL51" s="1"/>
      <c r="AM51" s="1" t="s">
        <v>251</v>
      </c>
      <c r="AN51" s="24" t="s">
        <v>272</v>
      </c>
      <c r="AO51" s="1"/>
      <c r="AP51" s="38" t="s">
        <v>195</v>
      </c>
      <c r="AQ51" s="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row>
    <row r="52" spans="2:155" ht="15" customHeight="1" thickBot="1" x14ac:dyDescent="0.4">
      <c r="B52" s="193" t="s">
        <v>109</v>
      </c>
      <c r="C52" s="288"/>
      <c r="D52" s="289"/>
      <c r="E52" s="289"/>
      <c r="F52" s="1283"/>
      <c r="G52" s="289"/>
      <c r="H52" s="289"/>
      <c r="I52" s="289"/>
      <c r="J52" s="289"/>
      <c r="K52" s="289"/>
      <c r="M52" s="221" t="s">
        <v>110</v>
      </c>
      <c r="N52" s="295"/>
      <c r="O52" s="1289"/>
      <c r="P52" s="296"/>
      <c r="Q52" s="296"/>
      <c r="R52" s="296"/>
      <c r="S52" s="296"/>
      <c r="T52" s="297"/>
      <c r="Y52" s="164" t="s">
        <v>21</v>
      </c>
      <c r="Z52" s="1249"/>
      <c r="AA52" s="1250"/>
      <c r="AB52" s="263">
        <f t="shared" ref="AB52:AB55" si="23">SUM(Z52:AA52)</f>
        <v>0</v>
      </c>
      <c r="AL52" s="1"/>
      <c r="AM52" s="1" t="s">
        <v>251</v>
      </c>
      <c r="AN52" s="24" t="s">
        <v>273</v>
      </c>
      <c r="AO52" s="1"/>
      <c r="AP52" s="38" t="s">
        <v>195</v>
      </c>
      <c r="AQ52" s="1"/>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row>
    <row r="53" spans="2:155" ht="15" customHeight="1" thickBot="1" x14ac:dyDescent="0.4">
      <c r="B53" s="193" t="s">
        <v>111</v>
      </c>
      <c r="C53" s="288"/>
      <c r="D53" s="289"/>
      <c r="E53" s="289"/>
      <c r="F53" s="1283"/>
      <c r="G53" s="289"/>
      <c r="H53" s="289"/>
      <c r="I53" s="289"/>
      <c r="J53" s="289"/>
      <c r="K53" s="289"/>
      <c r="M53" s="221" t="s">
        <v>112</v>
      </c>
      <c r="N53" s="222"/>
      <c r="O53" s="223"/>
      <c r="P53" s="296"/>
      <c r="Q53" s="296"/>
      <c r="R53" s="223"/>
      <c r="S53" s="223"/>
      <c r="T53" s="224"/>
      <c r="Y53" s="164" t="s">
        <v>22</v>
      </c>
      <c r="Z53" s="1249"/>
      <c r="AA53" s="1250"/>
      <c r="AB53" s="263">
        <f t="shared" si="23"/>
        <v>0</v>
      </c>
      <c r="AL53" s="1"/>
      <c r="AM53" s="1" t="s">
        <v>251</v>
      </c>
      <c r="AN53" s="24" t="s">
        <v>274</v>
      </c>
      <c r="AO53" s="1"/>
      <c r="AP53" s="38" t="s">
        <v>195</v>
      </c>
      <c r="AQ53" s="1"/>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row>
    <row r="54" spans="2:155" ht="15" customHeight="1" thickBot="1" x14ac:dyDescent="0.4">
      <c r="B54" s="193" t="s">
        <v>113</v>
      </c>
      <c r="C54" s="189">
        <f t="shared" ref="C54:K54" si="24">+C55+C58+C61+C64</f>
        <v>0</v>
      </c>
      <c r="D54" s="190">
        <f t="shared" si="24"/>
        <v>0</v>
      </c>
      <c r="E54" s="190">
        <f t="shared" si="24"/>
        <v>0</v>
      </c>
      <c r="F54" s="190">
        <f t="shared" si="24"/>
        <v>0</v>
      </c>
      <c r="G54" s="190">
        <f t="shared" si="24"/>
        <v>0</v>
      </c>
      <c r="H54" s="190">
        <f t="shared" si="24"/>
        <v>0</v>
      </c>
      <c r="I54" s="190">
        <f t="shared" si="24"/>
        <v>0</v>
      </c>
      <c r="J54" s="190">
        <f t="shared" si="24"/>
        <v>0</v>
      </c>
      <c r="K54" s="190">
        <f t="shared" si="24"/>
        <v>0</v>
      </c>
      <c r="M54" s="221" t="s">
        <v>114</v>
      </c>
      <c r="N54" s="222"/>
      <c r="O54" s="223"/>
      <c r="P54" s="296"/>
      <c r="Q54" s="296"/>
      <c r="R54" s="223"/>
      <c r="S54" s="223"/>
      <c r="T54" s="224"/>
      <c r="Y54" s="164" t="s">
        <v>23</v>
      </c>
      <c r="Z54" s="1249"/>
      <c r="AA54" s="1250"/>
      <c r="AB54" s="263">
        <f t="shared" si="23"/>
        <v>0</v>
      </c>
      <c r="AL54" s="1"/>
      <c r="AM54" s="1" t="s">
        <v>251</v>
      </c>
      <c r="AN54" s="24" t="s">
        <v>275</v>
      </c>
      <c r="AO54" s="1"/>
      <c r="AP54" s="38" t="s">
        <v>195</v>
      </c>
      <c r="AQ54" s="1"/>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row>
    <row r="55" spans="2:155" ht="15" customHeight="1" thickBot="1" x14ac:dyDescent="0.4">
      <c r="B55" s="186" t="s">
        <v>115</v>
      </c>
      <c r="C55" s="189">
        <f t="shared" ref="C55:K55" si="25">+C56+C57</f>
        <v>0</v>
      </c>
      <c r="D55" s="190">
        <f t="shared" si="25"/>
        <v>0</v>
      </c>
      <c r="E55" s="190">
        <f t="shared" si="25"/>
        <v>0</v>
      </c>
      <c r="F55" s="190">
        <f t="shared" si="25"/>
        <v>0</v>
      </c>
      <c r="G55" s="190">
        <f t="shared" si="25"/>
        <v>0</v>
      </c>
      <c r="H55" s="190">
        <f t="shared" si="25"/>
        <v>0</v>
      </c>
      <c r="I55" s="190">
        <f t="shared" si="25"/>
        <v>0</v>
      </c>
      <c r="J55" s="190">
        <f t="shared" si="25"/>
        <v>0</v>
      </c>
      <c r="K55" s="190">
        <f t="shared" si="25"/>
        <v>0</v>
      </c>
      <c r="M55" s="216" t="s">
        <v>419</v>
      </c>
      <c r="N55" s="295"/>
      <c r="O55" s="296"/>
      <c r="P55" s="296"/>
      <c r="Q55" s="296"/>
      <c r="R55" s="296"/>
      <c r="S55" s="296"/>
      <c r="T55" s="297">
        <v>8</v>
      </c>
      <c r="Y55" s="164" t="s">
        <v>24</v>
      </c>
      <c r="Z55" s="1251"/>
      <c r="AA55" s="1251"/>
      <c r="AB55" s="263">
        <f t="shared" si="23"/>
        <v>0</v>
      </c>
      <c r="AL55" s="1"/>
      <c r="AM55" s="1" t="s">
        <v>251</v>
      </c>
      <c r="AN55" s="24" t="s">
        <v>276</v>
      </c>
      <c r="AO55" s="1"/>
      <c r="AP55" s="38" t="s">
        <v>195</v>
      </c>
      <c r="AQ55" s="1"/>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row>
    <row r="56" spans="2:155" ht="15" customHeight="1" thickBot="1" x14ac:dyDescent="0.4">
      <c r="B56" s="186" t="s">
        <v>117</v>
      </c>
      <c r="C56" s="288"/>
      <c r="D56" s="289"/>
      <c r="E56" s="289"/>
      <c r="F56" s="1283"/>
      <c r="G56" s="289"/>
      <c r="H56" s="289"/>
      <c r="I56" s="289"/>
      <c r="J56" s="289"/>
      <c r="K56" s="289"/>
      <c r="M56" s="225" t="s">
        <v>118</v>
      </c>
      <c r="N56" s="222"/>
      <c r="O56" s="223"/>
      <c r="P56" s="223"/>
      <c r="Q56" s="223"/>
      <c r="R56" s="226">
        <f>(SUM($P$53:$Q$53)/10)</f>
        <v>0</v>
      </c>
      <c r="S56" s="226">
        <f>(SUM($P$53:$Q$53)/10)</f>
        <v>0</v>
      </c>
      <c r="T56" s="227">
        <f>(SUM($P$53:$Q$53)/10)</f>
        <v>0</v>
      </c>
      <c r="Y56" s="167" t="s">
        <v>25</v>
      </c>
      <c r="Z56" s="262">
        <f>SUM(Z57:Z59)</f>
        <v>0</v>
      </c>
      <c r="AA56" s="262">
        <f>SUM(AA57:AA59)</f>
        <v>0</v>
      </c>
      <c r="AB56" s="262">
        <f>SUM(AB57:AB59)</f>
        <v>0</v>
      </c>
      <c r="AL56" s="1"/>
      <c r="AM56" s="1" t="s">
        <v>251</v>
      </c>
      <c r="AN56" s="24" t="s">
        <v>277</v>
      </c>
      <c r="AO56" s="1"/>
      <c r="AP56" s="38" t="s">
        <v>195</v>
      </c>
      <c r="AQ56" s="1"/>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row>
    <row r="57" spans="2:155" ht="15" customHeight="1" thickBot="1" x14ac:dyDescent="0.4">
      <c r="B57" s="186" t="s">
        <v>119</v>
      </c>
      <c r="C57" s="288"/>
      <c r="D57" s="289"/>
      <c r="E57" s="289"/>
      <c r="F57" s="1283"/>
      <c r="G57" s="289"/>
      <c r="H57" s="289"/>
      <c r="I57" s="289"/>
      <c r="J57" s="289"/>
      <c r="K57" s="289"/>
      <c r="M57" s="216" t="s">
        <v>120</v>
      </c>
      <c r="N57" s="295"/>
      <c r="O57" s="296"/>
      <c r="P57" s="296"/>
      <c r="Q57" s="296"/>
      <c r="R57" s="296"/>
      <c r="S57" s="296"/>
      <c r="T57" s="297"/>
      <c r="Y57" s="164" t="s">
        <v>26</v>
      </c>
      <c r="Z57" s="1249"/>
      <c r="AA57" s="1250"/>
      <c r="AB57" s="260">
        <f>SUM(Z57:AA57)</f>
        <v>0</v>
      </c>
      <c r="AL57" s="1"/>
      <c r="AM57" s="1" t="s">
        <v>251</v>
      </c>
      <c r="AN57" s="24" t="s">
        <v>278</v>
      </c>
      <c r="AO57" s="1"/>
      <c r="AP57" s="38" t="s">
        <v>195</v>
      </c>
      <c r="AQ57" s="1"/>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row>
    <row r="58" spans="2:155" ht="15" customHeight="1" thickBot="1" x14ac:dyDescent="0.4">
      <c r="B58" s="186" t="s">
        <v>121</v>
      </c>
      <c r="C58" s="189">
        <f t="shared" ref="C58:K58" si="26">+C59+C60</f>
        <v>0</v>
      </c>
      <c r="D58" s="190">
        <f t="shared" si="26"/>
        <v>0</v>
      </c>
      <c r="E58" s="190">
        <f t="shared" si="26"/>
        <v>0</v>
      </c>
      <c r="F58" s="190">
        <f t="shared" si="26"/>
        <v>0</v>
      </c>
      <c r="G58" s="190">
        <f t="shared" si="26"/>
        <v>0</v>
      </c>
      <c r="H58" s="190">
        <f t="shared" si="26"/>
        <v>0</v>
      </c>
      <c r="I58" s="190">
        <f t="shared" si="26"/>
        <v>0</v>
      </c>
      <c r="J58" s="190">
        <f t="shared" si="26"/>
        <v>0</v>
      </c>
      <c r="K58" s="190">
        <f t="shared" si="26"/>
        <v>0</v>
      </c>
      <c r="M58" s="228" t="s">
        <v>122</v>
      </c>
      <c r="N58" s="229">
        <f t="shared" ref="N58:T58" si="27">+N50+N51+N52+N53-N55+N57+N54-N56</f>
        <v>0</v>
      </c>
      <c r="O58" s="226">
        <f t="shared" si="27"/>
        <v>0</v>
      </c>
      <c r="P58" s="226">
        <f t="shared" si="27"/>
        <v>0</v>
      </c>
      <c r="Q58" s="226">
        <f t="shared" si="27"/>
        <v>0</v>
      </c>
      <c r="R58" s="226">
        <f t="shared" si="27"/>
        <v>0</v>
      </c>
      <c r="S58" s="226">
        <f t="shared" si="27"/>
        <v>0</v>
      </c>
      <c r="T58" s="227">
        <f t="shared" si="27"/>
        <v>-8</v>
      </c>
      <c r="Y58" s="164" t="s">
        <v>27</v>
      </c>
      <c r="Z58" s="1246"/>
      <c r="AA58" s="1248"/>
      <c r="AB58" s="260">
        <f t="shared" ref="AB58" si="28">SUM(Z58:AA58)</f>
        <v>0</v>
      </c>
      <c r="AL58" s="1"/>
      <c r="AM58" s="1" t="s">
        <v>251</v>
      </c>
      <c r="AN58" s="24" t="s">
        <v>279</v>
      </c>
      <c r="AO58" s="1"/>
      <c r="AP58" s="38" t="s">
        <v>195</v>
      </c>
      <c r="AQ58" s="1"/>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row>
    <row r="59" spans="2:155" ht="15" customHeight="1" thickBot="1" x14ac:dyDescent="0.4">
      <c r="B59" s="186" t="s">
        <v>123</v>
      </c>
      <c r="C59" s="288"/>
      <c r="D59" s="289"/>
      <c r="E59" s="289"/>
      <c r="F59" s="1283"/>
      <c r="G59" s="289"/>
      <c r="H59" s="289"/>
      <c r="I59" s="289"/>
      <c r="J59" s="289"/>
      <c r="K59" s="289"/>
      <c r="M59" s="220" t="s">
        <v>124</v>
      </c>
      <c r="N59" s="295"/>
      <c r="O59" s="296">
        <f>+E46-E56</f>
        <v>0</v>
      </c>
      <c r="P59" s="226">
        <f ca="1">+O60</f>
        <v>0</v>
      </c>
      <c r="Q59" s="226">
        <f ca="1">+P60</f>
        <v>0</v>
      </c>
      <c r="R59" s="226">
        <f ca="1">+Q60</f>
        <v>0</v>
      </c>
      <c r="S59" s="226">
        <f ca="1">+R60</f>
        <v>0</v>
      </c>
      <c r="T59" s="227">
        <f ca="1">+S60</f>
        <v>0</v>
      </c>
      <c r="Y59" s="164" t="s">
        <v>28</v>
      </c>
      <c r="Z59" s="1246"/>
      <c r="AA59" s="1247"/>
      <c r="AB59" s="260">
        <f>SUM(Z59:AA59)</f>
        <v>0</v>
      </c>
      <c r="AL59" s="1"/>
      <c r="AM59" s="1" t="s">
        <v>251</v>
      </c>
      <c r="AN59" s="24" t="s">
        <v>280</v>
      </c>
      <c r="AO59" s="1"/>
      <c r="AP59" s="38" t="s">
        <v>195</v>
      </c>
      <c r="AQ59" s="1"/>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row>
    <row r="60" spans="2:155" ht="15" customHeight="1" thickBot="1" x14ac:dyDescent="0.4">
      <c r="B60" s="186" t="s">
        <v>125</v>
      </c>
      <c r="C60" s="288"/>
      <c r="D60" s="289"/>
      <c r="E60" s="289"/>
      <c r="F60" s="289"/>
      <c r="G60" s="289"/>
      <c r="H60" s="289"/>
      <c r="I60" s="289"/>
      <c r="J60" s="289"/>
      <c r="K60" s="289"/>
      <c r="M60" s="230" t="s">
        <v>126</v>
      </c>
      <c r="N60" s="231">
        <f t="shared" ref="N60:T60" ca="1" si="29">+N46+N48+N58+N59</f>
        <v>0</v>
      </c>
      <c r="O60" s="232">
        <f t="shared" ca="1" si="29"/>
        <v>0</v>
      </c>
      <c r="P60" s="232">
        <f ca="1">+P46+P48+P58+P59-P54</f>
        <v>0</v>
      </c>
      <c r="Q60" s="232">
        <f ca="1">+Q46+Q48+Q58+Q59-Q54</f>
        <v>0</v>
      </c>
      <c r="R60" s="232">
        <f t="shared" ca="1" si="29"/>
        <v>0</v>
      </c>
      <c r="S60" s="232">
        <f t="shared" ca="1" si="29"/>
        <v>0</v>
      </c>
      <c r="T60" s="233">
        <f t="shared" ca="1" si="29"/>
        <v>-8</v>
      </c>
      <c r="Y60" s="168" t="s">
        <v>29</v>
      </c>
      <c r="Z60" s="1252">
        <f>Z61+Z62</f>
        <v>0</v>
      </c>
      <c r="AA60" s="1252">
        <f>AA61+AA62</f>
        <v>0</v>
      </c>
      <c r="AB60" s="1252">
        <f>AB61+AB62</f>
        <v>0</v>
      </c>
      <c r="AL60" s="1"/>
      <c r="AM60" s="1" t="s">
        <v>251</v>
      </c>
      <c r="AN60" s="24" t="s">
        <v>281</v>
      </c>
      <c r="AO60" s="1"/>
      <c r="AP60" s="38" t="s">
        <v>195</v>
      </c>
      <c r="AQ60" s="1"/>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row>
    <row r="61" spans="2:155" ht="15" customHeight="1" thickBot="1" x14ac:dyDescent="0.4">
      <c r="B61" s="186" t="s">
        <v>127</v>
      </c>
      <c r="C61" s="189">
        <f t="shared" ref="C61:K61" si="30">+C62+C63</f>
        <v>0</v>
      </c>
      <c r="D61" s="190">
        <f t="shared" si="30"/>
        <v>0</v>
      </c>
      <c r="E61" s="190">
        <f t="shared" si="30"/>
        <v>0</v>
      </c>
      <c r="F61" s="190">
        <f t="shared" si="30"/>
        <v>0</v>
      </c>
      <c r="G61" s="190">
        <f t="shared" si="30"/>
        <v>0</v>
      </c>
      <c r="H61" s="190">
        <f t="shared" si="30"/>
        <v>0</v>
      </c>
      <c r="I61" s="190">
        <f t="shared" si="30"/>
        <v>0</v>
      </c>
      <c r="J61" s="190">
        <f t="shared" si="30"/>
        <v>0</v>
      </c>
      <c r="K61" s="190">
        <f t="shared" si="30"/>
        <v>0</v>
      </c>
      <c r="Y61" s="164" t="s">
        <v>30</v>
      </c>
      <c r="Z61" s="1253"/>
      <c r="AA61" s="1254"/>
      <c r="AB61" s="260">
        <f>Z61+AA61</f>
        <v>0</v>
      </c>
      <c r="AC61" s="1261" t="str">
        <f>+IF('Dati riepilogativi'!B2="Capo II",IF(AB61&lt;&gt;'Calcolo contributo CAPO II'!C31,"IMPORTO NON COERENTE",""),IF(Simulazione!AB61&lt;&gt;GBER!C38,"IMPORTO NON COERENTE",""))</f>
        <v/>
      </c>
      <c r="AL61" s="1"/>
      <c r="AM61" s="1"/>
      <c r="AN61" s="24" t="s">
        <v>282</v>
      </c>
      <c r="AO61" s="1"/>
      <c r="AP61" s="1" t="s">
        <v>240</v>
      </c>
      <c r="AQ61" s="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row>
    <row r="62" spans="2:155" ht="15" customHeight="1" thickBot="1" x14ac:dyDescent="0.4">
      <c r="B62" s="186" t="s">
        <v>128</v>
      </c>
      <c r="C62" s="288"/>
      <c r="D62" s="289"/>
      <c r="E62" s="289"/>
      <c r="F62" s="289"/>
      <c r="G62" s="289"/>
      <c r="H62" s="289"/>
      <c r="I62" s="289"/>
      <c r="J62" s="289"/>
      <c r="K62" s="289"/>
      <c r="Y62" s="164" t="s">
        <v>31</v>
      </c>
      <c r="Z62" s="1255"/>
      <c r="AA62" s="1256"/>
      <c r="AB62" s="260">
        <f>Z62+AA62</f>
        <v>0</v>
      </c>
      <c r="AC62" s="1261" t="str">
        <f>+IF('Dati riepilogativi'!B2="Capo II",IF(AB62&lt;&gt;'Calcolo contributo CAPO II'!C33,"IMPORTO NON COERENTE",""),IF(Simulazione!AB62&lt;&gt;GBER!C40,"IMPORTO NON COERENTE",""))</f>
        <v/>
      </c>
      <c r="AL62" s="1"/>
      <c r="AM62" s="39" t="s">
        <v>283</v>
      </c>
      <c r="AN62" s="40" t="s">
        <v>284</v>
      </c>
      <c r="AO62" s="39">
        <v>11</v>
      </c>
      <c r="AP62" s="38" t="s">
        <v>195</v>
      </c>
      <c r="AQ62" s="1"/>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row>
    <row r="63" spans="2:155" ht="15" customHeight="1" thickBot="1" x14ac:dyDescent="0.4">
      <c r="B63" s="186" t="s">
        <v>129</v>
      </c>
      <c r="C63" s="288"/>
      <c r="D63" s="289"/>
      <c r="E63" s="289"/>
      <c r="F63" s="289"/>
      <c r="G63" s="289"/>
      <c r="H63" s="289"/>
      <c r="I63" s="289"/>
      <c r="J63" s="289"/>
      <c r="K63" s="289"/>
      <c r="Y63" s="238" t="s">
        <v>32</v>
      </c>
      <c r="Z63" s="261">
        <f>Z60+Z56+Z50</f>
        <v>0</v>
      </c>
      <c r="AA63" s="261">
        <f>AA60+AA56+AA50</f>
        <v>0</v>
      </c>
      <c r="AB63" s="261">
        <f>AB60+AB56+AB50</f>
        <v>0</v>
      </c>
      <c r="AL63" s="1"/>
      <c r="AM63" s="39" t="s">
        <v>283</v>
      </c>
      <c r="AN63" s="40" t="s">
        <v>284</v>
      </c>
      <c r="AO63" s="39">
        <v>12</v>
      </c>
      <c r="AP63" s="41" t="s">
        <v>198</v>
      </c>
      <c r="AQ63" s="1"/>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row>
    <row r="64" spans="2:155" ht="15" customHeight="1" x14ac:dyDescent="0.35">
      <c r="B64" s="186" t="s">
        <v>130</v>
      </c>
      <c r="C64" s="189">
        <f t="shared" ref="C64:K64" si="31">+C65+C66</f>
        <v>0</v>
      </c>
      <c r="D64" s="190">
        <f t="shared" si="31"/>
        <v>0</v>
      </c>
      <c r="E64" s="190">
        <f t="shared" si="31"/>
        <v>0</v>
      </c>
      <c r="F64" s="190">
        <f t="shared" si="31"/>
        <v>0</v>
      </c>
      <c r="G64" s="190">
        <f t="shared" si="31"/>
        <v>0</v>
      </c>
      <c r="H64" s="190">
        <f t="shared" si="31"/>
        <v>0</v>
      </c>
      <c r="I64" s="190">
        <f t="shared" si="31"/>
        <v>0</v>
      </c>
      <c r="J64" s="190">
        <f t="shared" si="31"/>
        <v>0</v>
      </c>
      <c r="K64" s="190">
        <f t="shared" si="31"/>
        <v>0</v>
      </c>
      <c r="Y64"/>
      <c r="Z64"/>
      <c r="AA64"/>
      <c r="AB64"/>
      <c r="AL64" s="1"/>
      <c r="AM64" s="39" t="s">
        <v>283</v>
      </c>
      <c r="AN64" s="40" t="s">
        <v>284</v>
      </c>
      <c r="AO64" s="39">
        <v>13</v>
      </c>
      <c r="AP64" s="41" t="s">
        <v>198</v>
      </c>
      <c r="AQ64" s="1"/>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row>
    <row r="65" spans="2:132" ht="15" customHeight="1" x14ac:dyDescent="0.35">
      <c r="B65" s="186" t="s">
        <v>131</v>
      </c>
      <c r="C65" s="288"/>
      <c r="D65" s="289"/>
      <c r="E65" s="289"/>
      <c r="F65" s="289"/>
      <c r="G65" s="289"/>
      <c r="H65" s="289"/>
      <c r="I65" s="289"/>
      <c r="J65" s="289"/>
      <c r="K65" s="289"/>
      <c r="AL65" s="1"/>
      <c r="AM65" s="39" t="s">
        <v>283</v>
      </c>
      <c r="AN65" s="40" t="s">
        <v>284</v>
      </c>
      <c r="AO65" s="39">
        <v>21</v>
      </c>
      <c r="AP65" s="38" t="s">
        <v>195</v>
      </c>
      <c r="AQ65" s="1"/>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row>
    <row r="66" spans="2:132" ht="15" customHeight="1" x14ac:dyDescent="0.35">
      <c r="B66" s="186" t="s">
        <v>132</v>
      </c>
      <c r="C66" s="288"/>
      <c r="D66" s="289"/>
      <c r="E66" s="289"/>
      <c r="F66" s="289"/>
      <c r="G66" s="289"/>
      <c r="H66" s="289"/>
      <c r="I66" s="289"/>
      <c r="J66" s="289"/>
      <c r="K66" s="289"/>
      <c r="AB66" s="1261" t="str">
        <f>IF(AB63&gt;AB48,"Le fonti sono sovrabbondanti, valuta una riduzione delle coperture così da non sovra vincolare la società nelle coperture","")</f>
        <v/>
      </c>
      <c r="AL66" s="1"/>
      <c r="AM66" s="39" t="s">
        <v>283</v>
      </c>
      <c r="AN66" s="40" t="s">
        <v>284</v>
      </c>
      <c r="AO66" s="39">
        <v>22</v>
      </c>
      <c r="AP66" s="41" t="s">
        <v>198</v>
      </c>
      <c r="AQ66" s="1"/>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row>
    <row r="67" spans="2:132" ht="15.75" customHeight="1" thickBot="1" x14ac:dyDescent="0.4">
      <c r="B67" s="234" t="s">
        <v>133</v>
      </c>
      <c r="C67" s="298"/>
      <c r="D67" s="299"/>
      <c r="E67" s="299"/>
      <c r="F67" s="299"/>
      <c r="G67" s="299"/>
      <c r="H67" s="299"/>
      <c r="I67" s="299"/>
      <c r="J67" s="299"/>
      <c r="K67" s="299"/>
      <c r="AL67" s="1"/>
      <c r="AM67" s="39" t="s">
        <v>283</v>
      </c>
      <c r="AN67" s="40" t="s">
        <v>284</v>
      </c>
      <c r="AO67" s="39">
        <v>30</v>
      </c>
      <c r="AP67" s="41" t="s">
        <v>198</v>
      </c>
      <c r="AQ67" s="1"/>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row>
    <row r="68" spans="2:132" ht="45" customHeight="1" x14ac:dyDescent="0.35">
      <c r="AL68" s="1"/>
      <c r="AM68" s="39"/>
      <c r="AN68" s="40"/>
      <c r="AO68" s="39"/>
      <c r="AP68" s="41"/>
      <c r="AQ68" s="1"/>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row>
    <row r="69" spans="2:132" ht="45" customHeight="1" x14ac:dyDescent="0.35">
      <c r="M69"/>
      <c r="N69"/>
      <c r="O69"/>
      <c r="P69"/>
      <c r="Q69"/>
      <c r="R69"/>
      <c r="AL69" s="1"/>
      <c r="AM69" s="39"/>
      <c r="AN69" s="40"/>
      <c r="AO69" s="39"/>
      <c r="AP69" s="41"/>
      <c r="AQ69" s="1"/>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row>
    <row r="70" spans="2:132" ht="45" customHeight="1" x14ac:dyDescent="0.35">
      <c r="M70"/>
      <c r="N70"/>
      <c r="O70"/>
      <c r="P70"/>
      <c r="Q70"/>
      <c r="R70"/>
      <c r="AL70" s="1"/>
      <c r="AM70" s="39"/>
      <c r="AN70" s="40"/>
      <c r="AO70" s="39"/>
      <c r="AP70" s="41"/>
      <c r="AQ70" s="1"/>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row>
    <row r="71" spans="2:132" ht="45" customHeight="1" x14ac:dyDescent="0.35">
      <c r="D71" s="235"/>
      <c r="E71" s="235"/>
      <c r="F71" s="235"/>
      <c r="M71"/>
      <c r="N71"/>
      <c r="O71"/>
      <c r="P71"/>
      <c r="Q71"/>
      <c r="R71"/>
      <c r="AL71" s="1"/>
      <c r="AM71" s="39" t="s">
        <v>283</v>
      </c>
      <c r="AN71" s="40" t="s">
        <v>284</v>
      </c>
      <c r="AO71" s="39"/>
      <c r="AP71" s="41" t="s">
        <v>198</v>
      </c>
      <c r="AQ71" s="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row>
    <row r="72" spans="2:132" ht="45" customHeight="1" x14ac:dyDescent="0.35">
      <c r="M72"/>
      <c r="N72"/>
      <c r="O72"/>
      <c r="P72"/>
      <c r="Q72"/>
      <c r="R72"/>
      <c r="AL72" s="1"/>
      <c r="AM72" s="1" t="s">
        <v>285</v>
      </c>
      <c r="AN72" s="24" t="s">
        <v>286</v>
      </c>
      <c r="AO72" s="1"/>
      <c r="AP72" s="41" t="s">
        <v>198</v>
      </c>
      <c r="AQ72" s="1"/>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row>
    <row r="73" spans="2:132" ht="45" customHeight="1" x14ac:dyDescent="0.35">
      <c r="M73"/>
      <c r="N73"/>
      <c r="O73"/>
      <c r="P73"/>
      <c r="Q73"/>
      <c r="R73"/>
      <c r="AL73" s="1"/>
      <c r="AM73" s="1" t="s">
        <v>285</v>
      </c>
      <c r="AN73" s="24" t="s">
        <v>287</v>
      </c>
      <c r="AO73" s="1"/>
      <c r="AP73" s="41" t="s">
        <v>198</v>
      </c>
      <c r="AQ73" s="1"/>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row>
    <row r="74" spans="2:132" ht="45" customHeight="1" x14ac:dyDescent="0.35">
      <c r="M74"/>
      <c r="N74"/>
      <c r="O74"/>
      <c r="P74"/>
      <c r="Q74"/>
      <c r="R74"/>
      <c r="AL74" s="1"/>
      <c r="AM74" s="1" t="s">
        <v>285</v>
      </c>
      <c r="AN74" s="24" t="s">
        <v>288</v>
      </c>
      <c r="AO74" s="1"/>
      <c r="AP74" s="41" t="s">
        <v>198</v>
      </c>
      <c r="AQ74" s="1"/>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row>
    <row r="75" spans="2:132" ht="45" customHeight="1" x14ac:dyDescent="0.35">
      <c r="M75"/>
      <c r="N75"/>
      <c r="O75"/>
      <c r="P75"/>
      <c r="Q75"/>
      <c r="R75"/>
      <c r="AL75" s="1"/>
      <c r="AM75" s="1" t="s">
        <v>285</v>
      </c>
      <c r="AN75" s="24" t="s">
        <v>289</v>
      </c>
      <c r="AO75" s="1"/>
      <c r="AP75" s="41" t="s">
        <v>198</v>
      </c>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row>
    <row r="76" spans="2:132" ht="45" customHeight="1" x14ac:dyDescent="0.35">
      <c r="M76"/>
      <c r="N76"/>
      <c r="O76"/>
      <c r="P76"/>
      <c r="Q76"/>
      <c r="R76"/>
      <c r="AL76" s="1"/>
      <c r="AM76" s="1"/>
      <c r="AN76" s="24" t="s">
        <v>290</v>
      </c>
      <c r="AO76" s="1"/>
      <c r="AP76" s="1" t="s">
        <v>240</v>
      </c>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row>
    <row r="77" spans="2:132" ht="45" customHeight="1" x14ac:dyDescent="0.35">
      <c r="M77"/>
      <c r="N77"/>
      <c r="O77"/>
      <c r="P77"/>
      <c r="Q77"/>
      <c r="R77"/>
      <c r="AL77" s="1"/>
      <c r="AM77" s="1" t="s">
        <v>291</v>
      </c>
      <c r="AN77" s="24" t="s">
        <v>292</v>
      </c>
      <c r="AO77" s="1"/>
      <c r="AP77" s="37" t="s">
        <v>202</v>
      </c>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row>
    <row r="78" spans="2:132" ht="45" customHeight="1" x14ac:dyDescent="0.35">
      <c r="M78"/>
      <c r="N78"/>
      <c r="O78"/>
      <c r="P78"/>
      <c r="Q78"/>
      <c r="R78"/>
      <c r="AL78" s="1"/>
      <c r="AM78" s="1" t="s">
        <v>291</v>
      </c>
      <c r="AN78" s="24" t="s">
        <v>293</v>
      </c>
      <c r="AO78" s="1"/>
      <c r="AP78" s="41" t="s">
        <v>205</v>
      </c>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row>
    <row r="79" spans="2:132" ht="45" customHeight="1" x14ac:dyDescent="0.35">
      <c r="M79"/>
      <c r="N79"/>
      <c r="O79"/>
      <c r="P79"/>
      <c r="Q79"/>
      <c r="R79"/>
      <c r="AL79" s="1"/>
      <c r="AM79" s="1" t="s">
        <v>291</v>
      </c>
      <c r="AN79" s="24" t="s">
        <v>294</v>
      </c>
      <c r="AO79" s="1"/>
      <c r="AP79" s="41" t="s">
        <v>205</v>
      </c>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row>
    <row r="80" spans="2:132" ht="45" customHeight="1" x14ac:dyDescent="0.35">
      <c r="M80"/>
      <c r="N80"/>
      <c r="O80"/>
      <c r="P80"/>
      <c r="Q80"/>
      <c r="R80"/>
      <c r="AL80" s="1"/>
      <c r="AM80" s="1"/>
      <c r="AN80" s="24" t="s">
        <v>295</v>
      </c>
      <c r="AO80" s="1"/>
      <c r="AP80" s="1" t="s">
        <v>240</v>
      </c>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row>
    <row r="81" spans="13:132" ht="45" customHeight="1" x14ac:dyDescent="0.35">
      <c r="M81"/>
      <c r="N81"/>
      <c r="O81"/>
      <c r="P81"/>
      <c r="Q81"/>
      <c r="R81"/>
      <c r="AL81" s="1"/>
      <c r="AM81" s="1" t="s">
        <v>296</v>
      </c>
      <c r="AN81" s="24" t="s">
        <v>297</v>
      </c>
      <c r="AO81" s="1"/>
      <c r="AP81" s="42" t="s">
        <v>208</v>
      </c>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row>
    <row r="82" spans="13:132" ht="45" customHeight="1" x14ac:dyDescent="0.35">
      <c r="M82"/>
      <c r="N82"/>
      <c r="O82"/>
      <c r="P82"/>
      <c r="Q82"/>
      <c r="R82"/>
      <c r="AL82" s="1"/>
      <c r="AM82" s="1" t="s">
        <v>296</v>
      </c>
      <c r="AN82" s="24" t="s">
        <v>298</v>
      </c>
      <c r="AO82" s="1"/>
      <c r="AP82" s="42" t="s">
        <v>208</v>
      </c>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row>
    <row r="83" spans="13:132" ht="45" customHeight="1" x14ac:dyDescent="0.35">
      <c r="M83"/>
      <c r="N83"/>
      <c r="O83"/>
      <c r="P83"/>
      <c r="Q83"/>
      <c r="R83"/>
      <c r="AL83" s="1"/>
      <c r="AM83" s="1" t="s">
        <v>296</v>
      </c>
      <c r="AN83" s="24" t="s">
        <v>299</v>
      </c>
      <c r="AO83" s="1"/>
      <c r="AP83" s="43" t="s">
        <v>211</v>
      </c>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row>
    <row r="84" spans="13:132" ht="45" customHeight="1" x14ac:dyDescent="0.35">
      <c r="M84"/>
      <c r="N84"/>
      <c r="O84"/>
      <c r="P84"/>
      <c r="Q84"/>
      <c r="R84"/>
      <c r="AL84" s="1"/>
      <c r="AM84" s="1"/>
      <c r="AN84" s="24" t="s">
        <v>300</v>
      </c>
      <c r="AO84" s="1"/>
      <c r="AP84" s="1" t="s">
        <v>240</v>
      </c>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row>
    <row r="85" spans="13:132" ht="45" customHeight="1" x14ac:dyDescent="0.35">
      <c r="M85"/>
      <c r="N85"/>
      <c r="O85"/>
      <c r="P85"/>
      <c r="Q85"/>
      <c r="R85"/>
      <c r="AL85" s="1"/>
      <c r="AM85" s="39" t="s">
        <v>301</v>
      </c>
      <c r="AN85" s="40" t="s">
        <v>302</v>
      </c>
      <c r="AO85" s="39">
        <v>50</v>
      </c>
      <c r="AP85" s="41" t="s">
        <v>198</v>
      </c>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row>
    <row r="86" spans="13:132" ht="45" customHeight="1" x14ac:dyDescent="0.35">
      <c r="M86"/>
      <c r="N86"/>
      <c r="O86"/>
      <c r="P86"/>
      <c r="Q86"/>
      <c r="R86"/>
      <c r="AL86" s="1"/>
      <c r="AM86" s="1" t="s">
        <v>301</v>
      </c>
      <c r="AN86" s="24" t="s">
        <v>302</v>
      </c>
      <c r="AO86" s="1"/>
      <c r="AP86" s="44" t="s">
        <v>214</v>
      </c>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row>
    <row r="87" spans="13:132" ht="45" customHeight="1" x14ac:dyDescent="0.35">
      <c r="M87"/>
      <c r="N87"/>
      <c r="O87"/>
      <c r="P87"/>
      <c r="Q87"/>
      <c r="R87"/>
      <c r="AL87" s="1"/>
      <c r="AM87" s="1" t="s">
        <v>301</v>
      </c>
      <c r="AN87" s="24" t="s">
        <v>303</v>
      </c>
      <c r="AO87" s="1"/>
      <c r="AP87" s="44" t="s">
        <v>214</v>
      </c>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row>
    <row r="88" spans="13:132" ht="45" customHeight="1" x14ac:dyDescent="0.35">
      <c r="M88"/>
      <c r="N88"/>
      <c r="O88"/>
      <c r="P88"/>
      <c r="Q88"/>
      <c r="R88"/>
      <c r="AL88" s="1"/>
      <c r="AM88" s="1" t="s">
        <v>301</v>
      </c>
      <c r="AN88" s="24" t="s">
        <v>304</v>
      </c>
      <c r="AO88" s="1"/>
      <c r="AP88" s="44" t="s">
        <v>214</v>
      </c>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row>
    <row r="89" spans="13:132" ht="45" customHeight="1" x14ac:dyDescent="0.35">
      <c r="M89"/>
      <c r="N89"/>
      <c r="O89"/>
      <c r="P89"/>
      <c r="Q89"/>
      <c r="R89"/>
      <c r="AL89" s="1"/>
      <c r="AM89" s="1" t="s">
        <v>301</v>
      </c>
      <c r="AN89" s="24" t="s">
        <v>305</v>
      </c>
      <c r="AO89" s="1"/>
      <c r="AP89" s="44" t="s">
        <v>214</v>
      </c>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row>
    <row r="90" spans="13:132" ht="45" customHeight="1" x14ac:dyDescent="0.35">
      <c r="M90"/>
      <c r="N90"/>
      <c r="O90"/>
      <c r="P90"/>
      <c r="Q90"/>
      <c r="R90"/>
      <c r="AL90" s="1"/>
      <c r="AM90" s="1" t="s">
        <v>301</v>
      </c>
      <c r="AN90" s="24" t="s">
        <v>306</v>
      </c>
      <c r="AO90" s="1"/>
      <c r="AP90" s="44" t="s">
        <v>214</v>
      </c>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row>
    <row r="91" spans="13:132" ht="45" customHeight="1" x14ac:dyDescent="0.35">
      <c r="M91"/>
      <c r="N91"/>
      <c r="O91"/>
      <c r="P91"/>
      <c r="Q91"/>
      <c r="R91"/>
      <c r="AL91" s="1"/>
      <c r="AM91" s="1"/>
      <c r="AN91" s="24" t="s">
        <v>307</v>
      </c>
      <c r="AO91" s="1"/>
      <c r="AP91" s="1" t="s">
        <v>240</v>
      </c>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row>
    <row r="92" spans="13:132" ht="45" customHeight="1" x14ac:dyDescent="0.35">
      <c r="M92"/>
      <c r="N92"/>
      <c r="O92"/>
      <c r="P92"/>
      <c r="Q92"/>
      <c r="R92"/>
      <c r="AL92" s="1"/>
      <c r="AM92" s="1" t="s">
        <v>308</v>
      </c>
      <c r="AN92" s="24" t="s">
        <v>309</v>
      </c>
      <c r="AO92" s="1"/>
      <c r="AP92" s="44" t="s">
        <v>214</v>
      </c>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row>
    <row r="93" spans="13:132" ht="45" customHeight="1" x14ac:dyDescent="0.35">
      <c r="M93"/>
      <c r="N93"/>
      <c r="O93"/>
      <c r="P93"/>
      <c r="Q93"/>
      <c r="R93"/>
      <c r="AL93" s="1"/>
      <c r="AM93" s="1" t="s">
        <v>308</v>
      </c>
      <c r="AN93" s="24" t="s">
        <v>310</v>
      </c>
      <c r="AO93" s="1"/>
      <c r="AP93" s="43" t="s">
        <v>211</v>
      </c>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row>
    <row r="94" spans="13:132" ht="45" customHeight="1" x14ac:dyDescent="0.35">
      <c r="M94"/>
      <c r="N94"/>
      <c r="O94"/>
      <c r="P94"/>
      <c r="Q94"/>
      <c r="R94"/>
      <c r="AL94" s="1"/>
      <c r="AM94" s="1"/>
      <c r="AN94" s="24" t="s">
        <v>311</v>
      </c>
      <c r="AO94" s="1"/>
      <c r="AP94" s="1" t="s">
        <v>240</v>
      </c>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row>
    <row r="95" spans="13:132" ht="45" customHeight="1" x14ac:dyDescent="0.35">
      <c r="M95"/>
      <c r="N95"/>
      <c r="O95"/>
      <c r="P95"/>
      <c r="Q95"/>
      <c r="R95"/>
      <c r="AL95" s="1"/>
      <c r="AM95" s="1" t="s">
        <v>312</v>
      </c>
      <c r="AN95" s="24" t="s">
        <v>313</v>
      </c>
      <c r="AO95" s="1"/>
      <c r="AP95" s="45" t="s">
        <v>216</v>
      </c>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row>
    <row r="96" spans="13:132" ht="13.5" customHeight="1" x14ac:dyDescent="0.35">
      <c r="M96"/>
      <c r="N96"/>
      <c r="O96"/>
      <c r="P96"/>
      <c r="Q96"/>
      <c r="R96"/>
      <c r="AL96" s="1"/>
      <c r="AM96" s="1" t="s">
        <v>312</v>
      </c>
      <c r="AN96" s="24" t="s">
        <v>314</v>
      </c>
      <c r="AO96" s="1"/>
      <c r="AP96" s="45" t="s">
        <v>216</v>
      </c>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row>
    <row r="97" spans="2:132" ht="13.5" customHeight="1" x14ac:dyDescent="0.35">
      <c r="M97"/>
      <c r="N97"/>
      <c r="O97"/>
      <c r="P97"/>
      <c r="Q97"/>
      <c r="R97"/>
      <c r="AL97" s="1"/>
      <c r="AM97" s="1" t="s">
        <v>312</v>
      </c>
      <c r="AN97" s="24" t="s">
        <v>315</v>
      </c>
      <c r="AO97" s="1"/>
      <c r="AP97" s="45" t="s">
        <v>216</v>
      </c>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row>
    <row r="98" spans="2:132" ht="13.5" customHeight="1" x14ac:dyDescent="0.2">
      <c r="AL98" s="1"/>
      <c r="AM98" s="1" t="s">
        <v>312</v>
      </c>
      <c r="AN98" s="24" t="s">
        <v>316</v>
      </c>
      <c r="AO98" s="1"/>
      <c r="AP98" s="45" t="s">
        <v>216</v>
      </c>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row>
    <row r="99" spans="2:132" ht="13.5" customHeight="1" x14ac:dyDescent="0.2">
      <c r="AL99" s="1"/>
      <c r="AM99" s="1" t="s">
        <v>312</v>
      </c>
      <c r="AN99" s="24" t="s">
        <v>317</v>
      </c>
      <c r="AO99" s="1"/>
      <c r="AP99" s="45" t="s">
        <v>216</v>
      </c>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row>
    <row r="100" spans="2:132" ht="13.5" customHeight="1" x14ac:dyDescent="0.2">
      <c r="AL100" s="1"/>
      <c r="AM100" s="1" t="s">
        <v>312</v>
      </c>
      <c r="AN100" s="24" t="s">
        <v>318</v>
      </c>
      <c r="AO100" s="1"/>
      <c r="AP100" s="45" t="s">
        <v>216</v>
      </c>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row>
    <row r="101" spans="2:132" ht="13.5" customHeight="1" x14ac:dyDescent="0.35">
      <c r="B101"/>
      <c r="C101"/>
      <c r="D101"/>
      <c r="E101"/>
      <c r="F101"/>
      <c r="G101"/>
      <c r="AL101" s="1"/>
      <c r="AM101" s="1" t="s">
        <v>319</v>
      </c>
      <c r="AN101" s="24" t="s">
        <v>320</v>
      </c>
      <c r="AO101" s="1"/>
      <c r="AP101" s="1" t="s">
        <v>321</v>
      </c>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row>
    <row r="102" spans="2:132" ht="13.5" customHeight="1" x14ac:dyDescent="0.35">
      <c r="B102"/>
      <c r="C102"/>
      <c r="D102"/>
      <c r="E102"/>
      <c r="F102"/>
      <c r="G102"/>
      <c r="AL102" s="1"/>
      <c r="AM102" s="1" t="s">
        <v>319</v>
      </c>
      <c r="AN102" s="24" t="s">
        <v>322</v>
      </c>
      <c r="AO102" s="1"/>
      <c r="AP102" s="1" t="s">
        <v>321</v>
      </c>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row>
    <row r="103" spans="2:132" ht="13.5" customHeight="1" x14ac:dyDescent="0.35">
      <c r="B103"/>
      <c r="C103"/>
      <c r="D103"/>
      <c r="E103"/>
      <c r="F103"/>
      <c r="G103"/>
      <c r="AL103" s="1"/>
      <c r="AM103" s="1" t="s">
        <v>319</v>
      </c>
      <c r="AN103" s="24" t="s">
        <v>323</v>
      </c>
      <c r="AO103" s="1"/>
      <c r="AP103" s="1" t="s">
        <v>321</v>
      </c>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row>
    <row r="104" spans="2:132" ht="13.5" customHeight="1" x14ac:dyDescent="0.35">
      <c r="B104"/>
      <c r="C104"/>
      <c r="D104"/>
      <c r="E104"/>
      <c r="F104"/>
      <c r="G104"/>
      <c r="AL104" s="1"/>
      <c r="AM104" s="1"/>
      <c r="AN104" s="24" t="s">
        <v>324</v>
      </c>
      <c r="AO104" s="1"/>
      <c r="AP104" s="1" t="s">
        <v>240</v>
      </c>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row>
    <row r="105" spans="2:132" ht="13.5" customHeight="1" x14ac:dyDescent="0.35">
      <c r="B105"/>
      <c r="C105"/>
      <c r="D105"/>
      <c r="E105"/>
      <c r="F105"/>
      <c r="G105"/>
      <c r="AL105" s="1"/>
      <c r="AM105" s="1" t="s">
        <v>325</v>
      </c>
      <c r="AN105" s="24" t="s">
        <v>326</v>
      </c>
      <c r="AO105" s="1"/>
      <c r="AP105" s="1" t="s">
        <v>321</v>
      </c>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row>
    <row r="106" spans="2:132" ht="13.5" customHeight="1" x14ac:dyDescent="0.35">
      <c r="B106"/>
      <c r="C106"/>
      <c r="D106"/>
      <c r="E106"/>
      <c r="F106"/>
      <c r="G106"/>
      <c r="AL106" s="1"/>
      <c r="AM106" s="46" t="s">
        <v>327</v>
      </c>
      <c r="AN106" s="47" t="s">
        <v>328</v>
      </c>
      <c r="AO106" s="39"/>
      <c r="AP106" s="45" t="s">
        <v>216</v>
      </c>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row>
    <row r="107" spans="2:132" ht="13.5" customHeight="1" x14ac:dyDescent="0.35">
      <c r="B107"/>
      <c r="C107"/>
      <c r="D107"/>
      <c r="E107"/>
      <c r="F107"/>
      <c r="G107"/>
      <c r="AL107" s="1"/>
      <c r="AM107" s="46" t="s">
        <v>327</v>
      </c>
      <c r="AN107" s="47" t="s">
        <v>329</v>
      </c>
      <c r="AO107" s="39"/>
      <c r="AP107" s="45" t="s">
        <v>216</v>
      </c>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row>
    <row r="108" spans="2:132" ht="13.5" customHeight="1" x14ac:dyDescent="0.35">
      <c r="B108"/>
      <c r="C108"/>
      <c r="D108"/>
      <c r="E108"/>
      <c r="F108"/>
      <c r="G108"/>
      <c r="AL108" s="1"/>
      <c r="AM108" s="46" t="s">
        <v>327</v>
      </c>
      <c r="AN108" s="47" t="s">
        <v>330</v>
      </c>
      <c r="AO108" s="39"/>
      <c r="AP108" s="45" t="s">
        <v>216</v>
      </c>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row>
    <row r="109" spans="2:132" ht="13.5" customHeight="1" x14ac:dyDescent="0.35">
      <c r="B109"/>
      <c r="C109"/>
      <c r="D109"/>
      <c r="E109"/>
      <c r="F109"/>
      <c r="G109"/>
      <c r="AL109" s="1"/>
      <c r="AM109" s="46" t="s">
        <v>327</v>
      </c>
      <c r="AN109" s="47" t="s">
        <v>331</v>
      </c>
      <c r="AO109" s="39"/>
      <c r="AP109" s="45" t="s">
        <v>216</v>
      </c>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row>
    <row r="110" spans="2:132" ht="13.5" customHeight="1" x14ac:dyDescent="0.35">
      <c r="B110"/>
      <c r="C110"/>
      <c r="D110"/>
      <c r="E110"/>
      <c r="F110"/>
      <c r="G110"/>
      <c r="AL110" s="1"/>
      <c r="AM110" s="46" t="s">
        <v>327</v>
      </c>
      <c r="AN110" s="47" t="s">
        <v>332</v>
      </c>
      <c r="AO110" s="39"/>
      <c r="AP110" s="45" t="s">
        <v>216</v>
      </c>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row>
    <row r="111" spans="2:132" ht="13.5" customHeight="1" x14ac:dyDescent="0.35">
      <c r="B111"/>
      <c r="C111"/>
      <c r="D111"/>
      <c r="E111"/>
      <c r="F111"/>
      <c r="G111"/>
      <c r="AL111" s="1"/>
      <c r="AM111" s="46" t="s">
        <v>327</v>
      </c>
      <c r="AN111" s="47" t="s">
        <v>333</v>
      </c>
      <c r="AO111" s="39"/>
      <c r="AP111" s="45" t="s">
        <v>216</v>
      </c>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row>
    <row r="112" spans="2:132" ht="13.5" customHeight="1" x14ac:dyDescent="0.35">
      <c r="B112"/>
      <c r="C112"/>
      <c r="D112"/>
      <c r="E112"/>
      <c r="F112"/>
      <c r="G112"/>
      <c r="AL112" s="1"/>
      <c r="AM112" s="46" t="s">
        <v>327</v>
      </c>
      <c r="AN112" s="47" t="s">
        <v>334</v>
      </c>
      <c r="AO112" s="39"/>
      <c r="AP112" s="45" t="s">
        <v>216</v>
      </c>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row>
    <row r="113" spans="2:132" ht="13.5" customHeight="1" x14ac:dyDescent="0.35">
      <c r="B113"/>
      <c r="C113"/>
      <c r="D113"/>
      <c r="E113"/>
      <c r="F113"/>
      <c r="G113"/>
      <c r="AL113" s="1"/>
      <c r="AM113" s="46" t="s">
        <v>335</v>
      </c>
      <c r="AN113" s="47" t="s">
        <v>336</v>
      </c>
      <c r="AO113" s="39"/>
      <c r="AP113" s="45" t="s">
        <v>216</v>
      </c>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row>
    <row r="114" spans="2:132" ht="13.5" customHeight="1" x14ac:dyDescent="0.35">
      <c r="B114"/>
      <c r="C114"/>
      <c r="D114"/>
      <c r="E114"/>
      <c r="F114"/>
      <c r="G114"/>
      <c r="AL114" s="1"/>
      <c r="AM114" s="46" t="s">
        <v>335</v>
      </c>
      <c r="AN114" s="47" t="s">
        <v>337</v>
      </c>
      <c r="AO114" s="39"/>
      <c r="AP114" s="45" t="s">
        <v>216</v>
      </c>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row>
    <row r="115" spans="2:132" ht="13.5" customHeight="1" x14ac:dyDescent="0.35">
      <c r="B115"/>
      <c r="C115"/>
      <c r="D115"/>
      <c r="E115"/>
      <c r="F115"/>
      <c r="G115"/>
      <c r="AL115" s="1"/>
      <c r="AM115" s="46" t="s">
        <v>335</v>
      </c>
      <c r="AN115" s="47" t="s">
        <v>338</v>
      </c>
      <c r="AO115" s="39"/>
      <c r="AP115" s="45" t="s">
        <v>216</v>
      </c>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row>
    <row r="116" spans="2:132" ht="13.5" customHeight="1" x14ac:dyDescent="0.35">
      <c r="B116"/>
      <c r="C116"/>
      <c r="D116"/>
      <c r="E116"/>
      <c r="F116"/>
      <c r="G116"/>
      <c r="AL116" s="1"/>
      <c r="AM116" s="46" t="s">
        <v>335</v>
      </c>
      <c r="AN116" s="47" t="s">
        <v>339</v>
      </c>
      <c r="AO116" s="39"/>
      <c r="AP116" s="45" t="s">
        <v>216</v>
      </c>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row>
    <row r="117" spans="2:132" ht="13.5" customHeight="1" x14ac:dyDescent="0.35">
      <c r="B117"/>
      <c r="C117"/>
      <c r="D117"/>
      <c r="E117"/>
      <c r="F117"/>
      <c r="G117"/>
      <c r="AL117" s="1"/>
      <c r="AM117" s="46" t="s">
        <v>335</v>
      </c>
      <c r="AN117" s="47" t="s">
        <v>340</v>
      </c>
      <c r="AO117" s="39"/>
      <c r="AP117" s="45" t="s">
        <v>216</v>
      </c>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row>
    <row r="118" spans="2:132" ht="13.5" customHeight="1" x14ac:dyDescent="0.35">
      <c r="B118"/>
      <c r="C118"/>
      <c r="D118"/>
      <c r="E118"/>
      <c r="F118"/>
      <c r="G118"/>
      <c r="AL118" s="1"/>
      <c r="AM118" s="46" t="s">
        <v>335</v>
      </c>
      <c r="AN118" s="47" t="s">
        <v>341</v>
      </c>
      <c r="AO118" s="39"/>
      <c r="AP118" s="45" t="s">
        <v>216</v>
      </c>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row>
    <row r="119" spans="2:132" ht="13.5" customHeight="1" x14ac:dyDescent="0.35">
      <c r="B119"/>
      <c r="C119"/>
      <c r="D119"/>
      <c r="E119"/>
      <c r="F119"/>
      <c r="G119"/>
      <c r="AL119" s="1"/>
      <c r="AM119" s="46" t="s">
        <v>335</v>
      </c>
      <c r="AN119" s="47" t="s">
        <v>342</v>
      </c>
      <c r="AO119" s="39"/>
      <c r="AP119" s="45" t="s">
        <v>216</v>
      </c>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row>
    <row r="120" spans="2:132" ht="13.5" customHeight="1" x14ac:dyDescent="0.35">
      <c r="B120"/>
      <c r="C120"/>
      <c r="D120"/>
      <c r="E120"/>
      <c r="F120"/>
      <c r="G120"/>
      <c r="AL120" s="1"/>
      <c r="AM120" s="1"/>
      <c r="AN120" s="24" t="s">
        <v>343</v>
      </c>
      <c r="AO120" s="46"/>
      <c r="AP120" s="1" t="s">
        <v>240</v>
      </c>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row>
    <row r="121" spans="2:132" ht="13.5" customHeight="1" x14ac:dyDescent="0.35">
      <c r="B121"/>
      <c r="C121"/>
      <c r="D121"/>
      <c r="E121"/>
      <c r="F121"/>
      <c r="G121"/>
      <c r="AL121" s="1"/>
      <c r="AM121" s="46" t="s">
        <v>344</v>
      </c>
      <c r="AN121" s="24" t="s">
        <v>345</v>
      </c>
      <c r="AO121" s="1"/>
      <c r="AP121" s="1" t="s">
        <v>321</v>
      </c>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row>
    <row r="122" spans="2:132" ht="13.5" customHeight="1" x14ac:dyDescent="0.35">
      <c r="B122"/>
      <c r="C122"/>
      <c r="D122"/>
      <c r="E122"/>
      <c r="F122"/>
      <c r="G122"/>
      <c r="AL122" s="1"/>
      <c r="AM122" s="46" t="s">
        <v>346</v>
      </c>
      <c r="AN122" s="24" t="s">
        <v>347</v>
      </c>
      <c r="AO122" s="39"/>
      <c r="AP122" s="48" t="s">
        <v>218</v>
      </c>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row>
    <row r="123" spans="2:132" ht="13.5" customHeight="1" x14ac:dyDescent="0.35">
      <c r="B123"/>
      <c r="C123"/>
      <c r="D123"/>
      <c r="E123"/>
      <c r="F123"/>
      <c r="G123"/>
      <c r="AL123" s="1"/>
      <c r="AM123" s="46" t="s">
        <v>348</v>
      </c>
      <c r="AN123" s="24" t="s">
        <v>349</v>
      </c>
      <c r="AO123" s="39"/>
      <c r="AP123" s="48" t="s">
        <v>218</v>
      </c>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row>
    <row r="124" spans="2:132" ht="13.5" customHeight="1" x14ac:dyDescent="0.35">
      <c r="B124"/>
      <c r="C124"/>
      <c r="D124"/>
      <c r="E124"/>
      <c r="F124"/>
      <c r="G124"/>
      <c r="AL124" s="1"/>
      <c r="AM124" s="46" t="s">
        <v>348</v>
      </c>
      <c r="AN124" s="24" t="s">
        <v>350</v>
      </c>
      <c r="AO124" s="39"/>
      <c r="AP124" s="48" t="s">
        <v>218</v>
      </c>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row>
    <row r="125" spans="2:132" ht="13.5" customHeight="1" x14ac:dyDescent="0.35">
      <c r="B125"/>
      <c r="C125"/>
      <c r="D125"/>
      <c r="E125"/>
      <c r="F125"/>
      <c r="G125"/>
      <c r="AL125" s="1"/>
      <c r="AM125" s="46" t="s">
        <v>348</v>
      </c>
      <c r="AN125" s="24" t="s">
        <v>351</v>
      </c>
      <c r="AO125" s="39"/>
      <c r="AP125" s="48" t="s">
        <v>218</v>
      </c>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row>
    <row r="126" spans="2:132" ht="13.5" customHeight="1" x14ac:dyDescent="0.35">
      <c r="B126"/>
      <c r="C126"/>
      <c r="D126"/>
      <c r="E126"/>
      <c r="F126"/>
      <c r="G126"/>
      <c r="AL126" s="1"/>
      <c r="AM126" s="46"/>
      <c r="AN126" s="24" t="s">
        <v>352</v>
      </c>
      <c r="AO126" s="1"/>
      <c r="AP126" s="1" t="s">
        <v>240</v>
      </c>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row>
    <row r="127" spans="2:132" ht="13.5" customHeight="1" x14ac:dyDescent="0.35">
      <c r="B127"/>
      <c r="C127"/>
      <c r="D127"/>
      <c r="E127"/>
      <c r="F127"/>
      <c r="G127"/>
      <c r="AL127" s="1"/>
      <c r="AM127" s="46" t="s">
        <v>353</v>
      </c>
      <c r="AN127" s="24" t="s">
        <v>354</v>
      </c>
      <c r="AO127" s="39"/>
      <c r="AP127" s="48" t="s">
        <v>218</v>
      </c>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row>
    <row r="128" spans="2:132" ht="13.5" customHeight="1" x14ac:dyDescent="0.35">
      <c r="B128"/>
      <c r="C128"/>
      <c r="D128"/>
      <c r="E128"/>
      <c r="F128"/>
      <c r="G128"/>
      <c r="AL128" s="1"/>
      <c r="AM128" s="46" t="s">
        <v>353</v>
      </c>
      <c r="AN128" s="24" t="s">
        <v>355</v>
      </c>
      <c r="AO128" s="39"/>
      <c r="AP128" s="48" t="s">
        <v>218</v>
      </c>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row>
    <row r="129" spans="2:132" ht="13.5" customHeight="1" x14ac:dyDescent="0.35">
      <c r="B129"/>
      <c r="C129"/>
      <c r="D129"/>
      <c r="E129"/>
      <c r="F129"/>
      <c r="G129"/>
      <c r="AL129" s="1"/>
      <c r="AM129" s="46" t="s">
        <v>353</v>
      </c>
      <c r="AN129" s="24" t="s">
        <v>356</v>
      </c>
      <c r="AO129" s="39"/>
      <c r="AP129" s="48" t="s">
        <v>218</v>
      </c>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row>
    <row r="130" spans="2:132" ht="13.5" customHeight="1" x14ac:dyDescent="0.35">
      <c r="B130"/>
      <c r="C130"/>
      <c r="D130"/>
      <c r="E130"/>
      <c r="F130"/>
      <c r="G130"/>
      <c r="AL130" s="1"/>
      <c r="AM130" s="46" t="s">
        <v>353</v>
      </c>
      <c r="AN130" s="24" t="s">
        <v>357</v>
      </c>
      <c r="AO130" s="39"/>
      <c r="AP130" s="48" t="s">
        <v>218</v>
      </c>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row>
    <row r="131" spans="2:132" ht="13.5" customHeight="1" x14ac:dyDescent="0.35">
      <c r="B131"/>
      <c r="C131"/>
      <c r="D131"/>
      <c r="E131"/>
      <c r="F131"/>
      <c r="G131"/>
      <c r="AL131" s="1"/>
      <c r="AM131" s="46" t="s">
        <v>358</v>
      </c>
      <c r="AN131" s="24" t="s">
        <v>359</v>
      </c>
      <c r="AO131" s="39"/>
      <c r="AP131" s="48" t="s">
        <v>218</v>
      </c>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row>
    <row r="132" spans="2:132" ht="13.5" customHeight="1" x14ac:dyDescent="0.35">
      <c r="B132"/>
      <c r="C132"/>
      <c r="D132"/>
      <c r="E132"/>
      <c r="F132"/>
      <c r="G132"/>
      <c r="AL132" s="1"/>
      <c r="AM132" s="46" t="s">
        <v>358</v>
      </c>
      <c r="AN132" s="24" t="s">
        <v>360</v>
      </c>
      <c r="AO132" s="39"/>
      <c r="AP132" s="48" t="s">
        <v>218</v>
      </c>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row>
    <row r="133" spans="2:132" ht="13.5" customHeight="1" x14ac:dyDescent="0.35">
      <c r="B133"/>
      <c r="C133"/>
      <c r="D133"/>
      <c r="E133"/>
      <c r="F133"/>
      <c r="G133"/>
      <c r="AL133" s="1"/>
      <c r="AM133" s="46" t="s">
        <v>358</v>
      </c>
      <c r="AN133" s="24" t="s">
        <v>361</v>
      </c>
      <c r="AO133" s="39"/>
      <c r="AP133" s="48" t="s">
        <v>218</v>
      </c>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row>
    <row r="134" spans="2:132" ht="13.5" customHeight="1" x14ac:dyDescent="0.35">
      <c r="B134"/>
      <c r="C134"/>
      <c r="D134"/>
      <c r="E134"/>
      <c r="F134"/>
      <c r="G134"/>
      <c r="AL134" s="1"/>
      <c r="AM134" s="46" t="s">
        <v>362</v>
      </c>
      <c r="AN134" s="47" t="s">
        <v>363</v>
      </c>
      <c r="AO134" s="1"/>
      <c r="AP134" s="1" t="s">
        <v>321</v>
      </c>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row>
    <row r="135" spans="2:132" ht="13.5" customHeight="1" x14ac:dyDescent="0.35">
      <c r="B135"/>
      <c r="C135"/>
      <c r="D135"/>
      <c r="E135"/>
      <c r="F135"/>
      <c r="G135"/>
      <c r="AL135" s="1"/>
      <c r="AM135" s="46" t="s">
        <v>362</v>
      </c>
      <c r="AN135" s="47" t="s">
        <v>364</v>
      </c>
      <c r="AO135" s="1"/>
      <c r="AP135" s="1" t="s">
        <v>321</v>
      </c>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row>
    <row r="136" spans="2:132" ht="13.5" customHeight="1" x14ac:dyDescent="0.35">
      <c r="B136"/>
      <c r="C136"/>
      <c r="D136"/>
      <c r="E136"/>
      <c r="F136"/>
      <c r="G136"/>
      <c r="AL136" s="1"/>
      <c r="AM136" s="46" t="s">
        <v>365</v>
      </c>
      <c r="AN136" s="47" t="s">
        <v>366</v>
      </c>
      <c r="AO136" s="1"/>
      <c r="AP136" s="1" t="s">
        <v>321</v>
      </c>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row>
    <row r="137" spans="2:132" ht="13.5" customHeight="1" x14ac:dyDescent="0.35">
      <c r="B137"/>
      <c r="C137"/>
      <c r="D137"/>
      <c r="E137"/>
      <c r="F137"/>
      <c r="G137"/>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row>
    <row r="138" spans="2:132" ht="13.5" customHeight="1" x14ac:dyDescent="0.35">
      <c r="B138"/>
      <c r="C138"/>
      <c r="D138"/>
      <c r="E138"/>
      <c r="F138"/>
      <c r="G138"/>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row>
    <row r="139" spans="2:132" ht="13.5" customHeight="1" x14ac:dyDescent="0.35">
      <c r="B139"/>
      <c r="C139"/>
      <c r="D139"/>
      <c r="E139"/>
      <c r="F139"/>
      <c r="G139"/>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row>
    <row r="140" spans="2:132" ht="13.5" customHeight="1" x14ac:dyDescent="0.35">
      <c r="B140"/>
      <c r="C140"/>
      <c r="D140"/>
      <c r="E140"/>
      <c r="F140"/>
      <c r="G140"/>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row>
    <row r="141" spans="2:132" ht="13.5" customHeight="1" x14ac:dyDescent="0.35">
      <c r="B141"/>
      <c r="C141"/>
      <c r="D141"/>
      <c r="E141"/>
      <c r="F141"/>
      <c r="G141"/>
    </row>
    <row r="142" spans="2:132" ht="13.5" customHeight="1" x14ac:dyDescent="0.35">
      <c r="B142"/>
      <c r="C142"/>
      <c r="D142"/>
      <c r="E142"/>
      <c r="F142"/>
      <c r="G142"/>
    </row>
    <row r="143" spans="2:132" ht="13.5" customHeight="1" x14ac:dyDescent="0.35">
      <c r="B143"/>
      <c r="C143"/>
      <c r="D143"/>
      <c r="E143"/>
      <c r="F143"/>
      <c r="G143"/>
    </row>
    <row r="144" spans="2:132" ht="13.5" customHeight="1" x14ac:dyDescent="0.35">
      <c r="B144"/>
      <c r="C144"/>
      <c r="D144"/>
      <c r="E144"/>
      <c r="F144"/>
      <c r="G144"/>
    </row>
    <row r="145" spans="2:7" ht="13.5" customHeight="1" x14ac:dyDescent="0.35">
      <c r="B145"/>
      <c r="C145"/>
      <c r="D145"/>
      <c r="E145"/>
      <c r="F145"/>
      <c r="G145"/>
    </row>
    <row r="146" spans="2:7" ht="13.5" customHeight="1" x14ac:dyDescent="0.35">
      <c r="B146"/>
      <c r="C146"/>
      <c r="D146"/>
      <c r="E146"/>
      <c r="F146"/>
      <c r="G146"/>
    </row>
    <row r="147" spans="2:7" ht="13.5" customHeight="1" x14ac:dyDescent="0.35">
      <c r="B147"/>
      <c r="C147"/>
      <c r="D147"/>
      <c r="E147"/>
      <c r="F147"/>
      <c r="G147"/>
    </row>
    <row r="148" spans="2:7" ht="13.5" customHeight="1" x14ac:dyDescent="0.35">
      <c r="B148"/>
      <c r="C148"/>
      <c r="D148"/>
      <c r="E148"/>
      <c r="F148"/>
      <c r="G148"/>
    </row>
    <row r="149" spans="2:7" ht="13.5" customHeight="1" x14ac:dyDescent="0.35">
      <c r="B149"/>
      <c r="C149"/>
      <c r="D149"/>
      <c r="E149"/>
      <c r="F149"/>
      <c r="G149"/>
    </row>
    <row r="150" spans="2:7" ht="13.5" customHeight="1" x14ac:dyDescent="0.35">
      <c r="B150"/>
      <c r="C150"/>
      <c r="D150"/>
      <c r="E150"/>
      <c r="F150"/>
      <c r="G150"/>
    </row>
    <row r="151" spans="2:7" ht="13.5" customHeight="1" x14ac:dyDescent="0.35">
      <c r="B151"/>
      <c r="C151"/>
      <c r="D151"/>
      <c r="E151"/>
      <c r="F151"/>
      <c r="G151"/>
    </row>
    <row r="152" spans="2:7" ht="13.5" customHeight="1" x14ac:dyDescent="0.35">
      <c r="B152"/>
      <c r="C152"/>
      <c r="D152"/>
      <c r="E152"/>
      <c r="F152"/>
      <c r="G152"/>
    </row>
    <row r="153" spans="2:7" ht="13.5" customHeight="1" x14ac:dyDescent="0.35">
      <c r="B153"/>
      <c r="C153"/>
      <c r="D153"/>
      <c r="E153"/>
      <c r="F153"/>
      <c r="G153"/>
    </row>
    <row r="154" spans="2:7" ht="13.5" customHeight="1" x14ac:dyDescent="0.35">
      <c r="B154"/>
      <c r="C154"/>
      <c r="D154"/>
      <c r="E154"/>
      <c r="F154"/>
      <c r="G154"/>
    </row>
    <row r="155" spans="2:7" ht="13.5" customHeight="1" x14ac:dyDescent="0.35">
      <c r="B155"/>
      <c r="C155"/>
      <c r="D155"/>
      <c r="E155"/>
      <c r="F155"/>
      <c r="G155"/>
    </row>
    <row r="156" spans="2:7" ht="13.5" customHeight="1" x14ac:dyDescent="0.35">
      <c r="B156"/>
      <c r="C156"/>
      <c r="D156"/>
      <c r="E156"/>
      <c r="F156"/>
      <c r="G156"/>
    </row>
    <row r="157" spans="2:7" ht="13.5" customHeight="1" x14ac:dyDescent="0.35">
      <c r="B157"/>
      <c r="C157"/>
      <c r="D157"/>
      <c r="E157"/>
      <c r="F157"/>
      <c r="G157"/>
    </row>
    <row r="158" spans="2:7" ht="13.5" customHeight="1" x14ac:dyDescent="0.35">
      <c r="B158"/>
      <c r="C158"/>
      <c r="D158"/>
      <c r="E158"/>
      <c r="F158"/>
      <c r="G158"/>
    </row>
    <row r="159" spans="2:7" ht="13.5" customHeight="1" x14ac:dyDescent="0.35">
      <c r="B159"/>
      <c r="C159"/>
      <c r="D159"/>
      <c r="E159"/>
      <c r="F159"/>
      <c r="G159"/>
    </row>
    <row r="160" spans="2:7" ht="13.5" customHeight="1" x14ac:dyDescent="0.35">
      <c r="B160"/>
      <c r="C160"/>
      <c r="D160"/>
      <c r="E160"/>
      <c r="F160"/>
      <c r="G160"/>
    </row>
    <row r="161" spans="2:7" ht="13.5" customHeight="1" x14ac:dyDescent="0.35">
      <c r="B161"/>
      <c r="C161"/>
      <c r="D161"/>
      <c r="E161"/>
      <c r="F161"/>
      <c r="G161"/>
    </row>
    <row r="162" spans="2:7" ht="13.5" customHeight="1" x14ac:dyDescent="0.35">
      <c r="B162"/>
      <c r="C162"/>
      <c r="D162"/>
      <c r="E162"/>
      <c r="F162"/>
      <c r="G162"/>
    </row>
    <row r="163" spans="2:7" ht="13.5" customHeight="1" x14ac:dyDescent="0.35">
      <c r="B163"/>
      <c r="C163"/>
      <c r="D163"/>
      <c r="E163"/>
      <c r="F163"/>
      <c r="G163"/>
    </row>
    <row r="164" spans="2:7" ht="13.5" customHeight="1" x14ac:dyDescent="0.35">
      <c r="B164"/>
      <c r="C164"/>
      <c r="D164"/>
      <c r="E164"/>
      <c r="F164"/>
      <c r="G164"/>
    </row>
    <row r="165" spans="2:7" ht="13.5" customHeight="1" x14ac:dyDescent="0.35">
      <c r="B165"/>
      <c r="C165"/>
      <c r="D165"/>
      <c r="E165"/>
      <c r="F165"/>
      <c r="G165"/>
    </row>
    <row r="166" spans="2:7" ht="13.5" customHeight="1" x14ac:dyDescent="0.35">
      <c r="B166"/>
      <c r="C166"/>
      <c r="D166"/>
      <c r="E166"/>
      <c r="F166"/>
      <c r="G166"/>
    </row>
    <row r="167" spans="2:7" ht="13.5" customHeight="1" x14ac:dyDescent="0.35">
      <c r="B167"/>
      <c r="C167"/>
      <c r="D167"/>
      <c r="E167"/>
      <c r="F167"/>
      <c r="G167"/>
    </row>
    <row r="168" spans="2:7" ht="13.5" customHeight="1" x14ac:dyDescent="0.35">
      <c r="B168"/>
      <c r="C168"/>
      <c r="D168"/>
      <c r="E168"/>
      <c r="F168"/>
      <c r="G168"/>
    </row>
    <row r="169" spans="2:7" ht="13.5" customHeight="1" x14ac:dyDescent="0.35">
      <c r="B169"/>
      <c r="C169"/>
      <c r="D169"/>
      <c r="E169"/>
      <c r="F169"/>
      <c r="G169"/>
    </row>
    <row r="170" spans="2:7" ht="13.5" customHeight="1" x14ac:dyDescent="0.35">
      <c r="B170"/>
      <c r="C170"/>
      <c r="D170"/>
      <c r="E170"/>
      <c r="F170"/>
      <c r="G170"/>
    </row>
    <row r="171" spans="2:7" ht="13.5" customHeight="1" x14ac:dyDescent="0.35">
      <c r="B171"/>
      <c r="C171"/>
      <c r="D171"/>
      <c r="E171"/>
      <c r="F171"/>
      <c r="G171"/>
    </row>
    <row r="172" spans="2:7" ht="13.5" customHeight="1" x14ac:dyDescent="0.35">
      <c r="B172"/>
      <c r="C172"/>
      <c r="D172"/>
      <c r="E172"/>
      <c r="F172"/>
      <c r="G172"/>
    </row>
    <row r="173" spans="2:7" ht="13.5" customHeight="1" x14ac:dyDescent="0.35">
      <c r="B173"/>
      <c r="C173"/>
      <c r="D173"/>
      <c r="E173"/>
      <c r="F173"/>
      <c r="G173"/>
    </row>
    <row r="174" spans="2:7" ht="13.5" customHeight="1" x14ac:dyDescent="0.35">
      <c r="B174"/>
      <c r="C174"/>
      <c r="D174"/>
      <c r="E174"/>
      <c r="F174"/>
      <c r="G174"/>
    </row>
    <row r="175" spans="2:7" ht="13.5" customHeight="1" x14ac:dyDescent="0.35">
      <c r="B175"/>
      <c r="C175"/>
      <c r="D175"/>
      <c r="E175"/>
      <c r="F175"/>
      <c r="G175"/>
    </row>
    <row r="176" spans="2:7" ht="13.5" customHeight="1" x14ac:dyDescent="0.35">
      <c r="B176"/>
      <c r="C176"/>
      <c r="D176"/>
      <c r="E176"/>
      <c r="F176"/>
      <c r="G176"/>
    </row>
    <row r="177" spans="2:7" ht="13.5" customHeight="1" x14ac:dyDescent="0.35">
      <c r="B177"/>
      <c r="C177"/>
      <c r="D177"/>
      <c r="E177"/>
      <c r="F177"/>
      <c r="G177"/>
    </row>
    <row r="178" spans="2:7" ht="13.5" customHeight="1" x14ac:dyDescent="0.35">
      <c r="B178"/>
      <c r="C178"/>
      <c r="D178"/>
      <c r="E178"/>
      <c r="F178"/>
      <c r="G178"/>
    </row>
    <row r="179" spans="2:7" ht="13.5" customHeight="1" x14ac:dyDescent="0.35">
      <c r="B179"/>
      <c r="C179"/>
      <c r="D179"/>
      <c r="E179"/>
      <c r="F179"/>
      <c r="G179"/>
    </row>
    <row r="180" spans="2:7" ht="13.5" customHeight="1" x14ac:dyDescent="0.35">
      <c r="B180"/>
      <c r="C180"/>
      <c r="D180"/>
      <c r="E180"/>
      <c r="F180"/>
      <c r="G180"/>
    </row>
    <row r="181" spans="2:7" ht="13.5" customHeight="1" x14ac:dyDescent="0.35">
      <c r="B181"/>
      <c r="C181"/>
      <c r="D181"/>
      <c r="E181"/>
      <c r="F181"/>
      <c r="G181"/>
    </row>
    <row r="182" spans="2:7" ht="13.5" customHeight="1" x14ac:dyDescent="0.35">
      <c r="B182"/>
      <c r="C182"/>
      <c r="D182"/>
      <c r="E182"/>
      <c r="F182"/>
      <c r="G182"/>
    </row>
    <row r="183" spans="2:7" ht="13.5" customHeight="1" x14ac:dyDescent="0.35">
      <c r="B183"/>
      <c r="C183"/>
      <c r="D183"/>
      <c r="E183"/>
      <c r="F183"/>
      <c r="G183"/>
    </row>
    <row r="184" spans="2:7" ht="13.5" customHeight="1" x14ac:dyDescent="0.35">
      <c r="B184"/>
      <c r="C184"/>
      <c r="D184"/>
      <c r="E184"/>
      <c r="F184"/>
      <c r="G184"/>
    </row>
    <row r="185" spans="2:7" ht="13.5" customHeight="1" x14ac:dyDescent="0.35">
      <c r="B185"/>
      <c r="C185"/>
      <c r="D185"/>
      <c r="E185"/>
      <c r="F185"/>
      <c r="G185"/>
    </row>
    <row r="186" spans="2:7" ht="13.5" customHeight="1" x14ac:dyDescent="0.35">
      <c r="B186"/>
      <c r="C186"/>
      <c r="D186"/>
      <c r="E186"/>
      <c r="F186"/>
      <c r="G186"/>
    </row>
    <row r="187" spans="2:7" ht="13.5" customHeight="1" x14ac:dyDescent="0.35">
      <c r="B187"/>
      <c r="C187"/>
      <c r="D187"/>
      <c r="E187"/>
      <c r="F187"/>
      <c r="G187"/>
    </row>
    <row r="188" spans="2:7" ht="13.5" customHeight="1" x14ac:dyDescent="0.35">
      <c r="B188"/>
      <c r="C188"/>
      <c r="D188"/>
      <c r="E188"/>
      <c r="F188"/>
      <c r="G188"/>
    </row>
    <row r="189" spans="2:7" ht="13.5" customHeight="1" x14ac:dyDescent="0.35">
      <c r="B189"/>
      <c r="C189"/>
      <c r="D189"/>
      <c r="E189"/>
      <c r="F189"/>
      <c r="G189"/>
    </row>
    <row r="190" spans="2:7" ht="13.5" customHeight="1" x14ac:dyDescent="0.35">
      <c r="B190"/>
      <c r="C190"/>
      <c r="D190"/>
      <c r="E190"/>
      <c r="F190"/>
      <c r="G190"/>
    </row>
    <row r="191" spans="2:7" ht="13.5" customHeight="1" x14ac:dyDescent="0.35">
      <c r="B191"/>
      <c r="C191"/>
      <c r="D191"/>
      <c r="E191"/>
      <c r="F191"/>
      <c r="G191"/>
    </row>
    <row r="192" spans="2:7" ht="13.5" customHeight="1" x14ac:dyDescent="0.35">
      <c r="B192"/>
      <c r="C192"/>
      <c r="D192"/>
      <c r="E192"/>
      <c r="F192"/>
      <c r="G192"/>
    </row>
    <row r="193" spans="2:7" ht="13.5" customHeight="1" x14ac:dyDescent="0.35">
      <c r="B193"/>
      <c r="C193"/>
      <c r="D193"/>
      <c r="E193"/>
      <c r="F193"/>
      <c r="G193"/>
    </row>
    <row r="194" spans="2:7" ht="13.5" customHeight="1" x14ac:dyDescent="0.2"/>
    <row r="195" spans="2:7" ht="13.5" customHeight="1" x14ac:dyDescent="0.2"/>
    <row r="196" spans="2:7" ht="13.5" customHeight="1" x14ac:dyDescent="0.2"/>
    <row r="197" spans="2:7" ht="13.5" customHeight="1" x14ac:dyDescent="0.2"/>
    <row r="198" spans="2:7" ht="13.5" customHeight="1" x14ac:dyDescent="0.2"/>
    <row r="199" spans="2:7" ht="13.5" customHeight="1" x14ac:dyDescent="0.2"/>
    <row r="200" spans="2:7" ht="13.5" customHeight="1" x14ac:dyDescent="0.2"/>
    <row r="201" spans="2:7" ht="13.5" customHeight="1" x14ac:dyDescent="0.2"/>
    <row r="202" spans="2:7" ht="13.5" customHeight="1" x14ac:dyDescent="0.2"/>
    <row r="203" spans="2:7" ht="13.5" customHeight="1" x14ac:dyDescent="0.2"/>
    <row r="204" spans="2:7" ht="13.5" customHeight="1" x14ac:dyDescent="0.2"/>
    <row r="205" spans="2:7" ht="13.5" customHeight="1" x14ac:dyDescent="0.2"/>
    <row r="206" spans="2:7" ht="13.5" customHeight="1" x14ac:dyDescent="0.2"/>
    <row r="207" spans="2:7" ht="13.5" customHeight="1" x14ac:dyDescent="0.2"/>
    <row r="208" spans="2:7" ht="13.5" customHeight="1" x14ac:dyDescent="0.2"/>
    <row r="209" ht="13.5" customHeight="1" x14ac:dyDescent="0.2"/>
    <row r="210" ht="13.5" customHeight="1" x14ac:dyDescent="0.2"/>
    <row r="211" ht="13.5" customHeight="1" x14ac:dyDescent="0.2"/>
    <row r="212" ht="13.5" customHeight="1" x14ac:dyDescent="0.2"/>
    <row r="213" ht="13.5" customHeight="1" x14ac:dyDescent="0.2"/>
    <row r="214" ht="13.5" customHeight="1" x14ac:dyDescent="0.2"/>
    <row r="215" ht="13.5" customHeight="1" x14ac:dyDescent="0.2"/>
    <row r="216" ht="13.5" customHeight="1" x14ac:dyDescent="0.2"/>
    <row r="217" ht="13.5" customHeight="1" x14ac:dyDescent="0.2"/>
    <row r="218" ht="13.5" customHeight="1" x14ac:dyDescent="0.2"/>
    <row r="219" ht="13.5" customHeight="1" x14ac:dyDescent="0.2"/>
    <row r="220" ht="13.5" customHeight="1" x14ac:dyDescent="0.2"/>
    <row r="221" ht="13.5" customHeight="1" x14ac:dyDescent="0.2"/>
    <row r="222" ht="13.5" customHeight="1" x14ac:dyDescent="0.2"/>
    <row r="223" ht="13.5" customHeight="1" x14ac:dyDescent="0.2"/>
    <row r="224" ht="13.5" customHeight="1" x14ac:dyDescent="0.2"/>
    <row r="225" ht="13.5" customHeight="1" x14ac:dyDescent="0.2"/>
    <row r="226" ht="13.5" customHeight="1" x14ac:dyDescent="0.2"/>
    <row r="227" ht="13.5" customHeight="1" x14ac:dyDescent="0.2"/>
    <row r="228" ht="13.5" customHeight="1" x14ac:dyDescent="0.2"/>
    <row r="229" ht="13.5" customHeight="1" x14ac:dyDescent="0.2"/>
    <row r="230" ht="13.5" customHeight="1" x14ac:dyDescent="0.2"/>
    <row r="231" ht="13.5" customHeight="1" x14ac:dyDescent="0.2"/>
    <row r="232" ht="13.5" customHeight="1" x14ac:dyDescent="0.2"/>
    <row r="233" ht="13.5" customHeight="1" x14ac:dyDescent="0.2"/>
    <row r="234" ht="13.5" customHeight="1" x14ac:dyDescent="0.2"/>
    <row r="235" ht="13.5" customHeight="1" x14ac:dyDescent="0.2"/>
    <row r="236" ht="13.5" customHeight="1" x14ac:dyDescent="0.2"/>
    <row r="237" ht="13.5" customHeight="1" x14ac:dyDescent="0.2"/>
    <row r="238" ht="13.5" customHeight="1" x14ac:dyDescent="0.2"/>
    <row r="239" ht="13.5" customHeight="1" x14ac:dyDescent="0.2"/>
    <row r="240" ht="13.5" customHeight="1" x14ac:dyDescent="0.2"/>
    <row r="241" ht="13.5" customHeight="1" x14ac:dyDescent="0.2"/>
    <row r="242" ht="13.5" customHeight="1" x14ac:dyDescent="0.2"/>
    <row r="243" ht="13.5" customHeight="1" x14ac:dyDescent="0.2"/>
    <row r="244" ht="13.5" customHeight="1" x14ac:dyDescent="0.2"/>
    <row r="245" ht="13.5" customHeight="1" x14ac:dyDescent="0.2"/>
    <row r="246" ht="13.5" customHeight="1" x14ac:dyDescent="0.2"/>
    <row r="247" ht="13.5" customHeight="1" x14ac:dyDescent="0.2"/>
    <row r="248" ht="13.5" customHeight="1" x14ac:dyDescent="0.2"/>
    <row r="249" ht="13.5" customHeight="1" x14ac:dyDescent="0.2"/>
    <row r="250" ht="13.5" customHeight="1" x14ac:dyDescent="0.2"/>
    <row r="251" ht="13.5" customHeight="1" x14ac:dyDescent="0.2"/>
    <row r="252" ht="13.5" customHeight="1" x14ac:dyDescent="0.2"/>
    <row r="253" ht="13.5" customHeight="1" x14ac:dyDescent="0.2"/>
    <row r="254" ht="13.5" customHeight="1" x14ac:dyDescent="0.2"/>
    <row r="255" ht="13.5" customHeight="1" x14ac:dyDescent="0.2"/>
    <row r="256" ht="13.5" customHeight="1" x14ac:dyDescent="0.2"/>
    <row r="257" ht="13.5" customHeight="1" x14ac:dyDescent="0.2"/>
    <row r="258" ht="13.5" customHeight="1" x14ac:dyDescent="0.2"/>
    <row r="259" ht="13.5" customHeight="1" x14ac:dyDescent="0.2"/>
    <row r="260" ht="13.5" customHeight="1" x14ac:dyDescent="0.2"/>
    <row r="261" ht="13.5" customHeight="1" x14ac:dyDescent="0.2"/>
    <row r="262" ht="13.5" customHeight="1" x14ac:dyDescent="0.2"/>
    <row r="263" ht="13.5" customHeight="1" x14ac:dyDescent="0.2"/>
    <row r="264" ht="13.5" customHeight="1" x14ac:dyDescent="0.2"/>
    <row r="265" ht="13.5" customHeight="1" x14ac:dyDescent="0.2"/>
    <row r="266" ht="13.5" customHeight="1" x14ac:dyDescent="0.2"/>
    <row r="267" ht="13.5" customHeight="1" x14ac:dyDescent="0.2"/>
    <row r="268" ht="13.5" customHeight="1" x14ac:dyDescent="0.2"/>
    <row r="269" ht="13.5" customHeight="1" x14ac:dyDescent="0.2"/>
    <row r="270" ht="13.5" customHeight="1" x14ac:dyDescent="0.2"/>
    <row r="271" ht="13.5" customHeight="1" x14ac:dyDescent="0.2"/>
    <row r="272" ht="13.5" customHeight="1" x14ac:dyDescent="0.2"/>
    <row r="273" ht="13.5" customHeight="1" x14ac:dyDescent="0.2"/>
    <row r="274" ht="13.5" customHeight="1" x14ac:dyDescent="0.2"/>
    <row r="275" ht="13.5" customHeight="1" x14ac:dyDescent="0.2"/>
    <row r="276" ht="13.5" customHeight="1" x14ac:dyDescent="0.2"/>
    <row r="277" ht="13.5" customHeight="1" x14ac:dyDescent="0.2"/>
    <row r="278" ht="13.5" customHeight="1" x14ac:dyDescent="0.2"/>
    <row r="279" ht="13.5" customHeight="1" x14ac:dyDescent="0.2"/>
    <row r="280" ht="13.5" customHeight="1" x14ac:dyDescent="0.2"/>
    <row r="281" ht="13.5" customHeight="1" x14ac:dyDescent="0.2"/>
    <row r="282" ht="13.5" customHeight="1" x14ac:dyDescent="0.2"/>
    <row r="283" ht="13.5" customHeight="1" x14ac:dyDescent="0.2"/>
    <row r="284" ht="13.5" customHeight="1" x14ac:dyDescent="0.2"/>
    <row r="285" ht="13.5" customHeight="1" x14ac:dyDescent="0.2"/>
    <row r="286" ht="13.5" customHeight="1" x14ac:dyDescent="0.2"/>
    <row r="287" ht="13.5" customHeight="1" x14ac:dyDescent="0.2"/>
    <row r="288" ht="13.5" customHeight="1" x14ac:dyDescent="0.2"/>
    <row r="289" ht="13.5" customHeight="1" x14ac:dyDescent="0.2"/>
    <row r="290" ht="13.5" customHeight="1" x14ac:dyDescent="0.2"/>
    <row r="291" ht="13.5" customHeight="1" x14ac:dyDescent="0.2"/>
    <row r="292" ht="13.5" customHeight="1" x14ac:dyDescent="0.2"/>
    <row r="293" ht="13.5" customHeight="1" x14ac:dyDescent="0.2"/>
    <row r="294" ht="13.5" customHeight="1" x14ac:dyDescent="0.2"/>
    <row r="295" ht="13.5" customHeight="1" x14ac:dyDescent="0.2"/>
    <row r="296" ht="13.5" customHeight="1" x14ac:dyDescent="0.2"/>
    <row r="297" ht="13.5" customHeight="1" x14ac:dyDescent="0.2"/>
    <row r="298" ht="13.5" customHeight="1" x14ac:dyDescent="0.2"/>
    <row r="299" ht="13.5" customHeight="1" x14ac:dyDescent="0.2"/>
    <row r="300" ht="13.5" customHeight="1" x14ac:dyDescent="0.2"/>
    <row r="301" ht="13.5" customHeight="1" x14ac:dyDescent="0.2"/>
    <row r="302" ht="13.5" customHeight="1" x14ac:dyDescent="0.2"/>
    <row r="303" ht="13.5" customHeight="1" x14ac:dyDescent="0.2"/>
    <row r="304" ht="13.5" customHeight="1" x14ac:dyDescent="0.2"/>
    <row r="305" ht="13.5" customHeight="1" x14ac:dyDescent="0.2"/>
    <row r="306" ht="13.5" customHeight="1" x14ac:dyDescent="0.2"/>
    <row r="307" ht="13.5" customHeight="1" x14ac:dyDescent="0.2"/>
    <row r="308" ht="13.5" customHeight="1" x14ac:dyDescent="0.2"/>
    <row r="309" ht="13.5" customHeight="1" x14ac:dyDescent="0.2"/>
    <row r="310" ht="13.5" customHeight="1" x14ac:dyDescent="0.2"/>
    <row r="311" ht="13.5" customHeight="1" x14ac:dyDescent="0.2"/>
    <row r="312" ht="13.5" customHeight="1" x14ac:dyDescent="0.2"/>
    <row r="313" ht="13.5" customHeight="1" x14ac:dyDescent="0.2"/>
    <row r="314" ht="13.5" customHeight="1" x14ac:dyDescent="0.2"/>
    <row r="315" ht="13.5" customHeight="1" x14ac:dyDescent="0.2"/>
    <row r="316" ht="13.5" customHeight="1" x14ac:dyDescent="0.2"/>
    <row r="317" ht="13.5" customHeight="1" x14ac:dyDescent="0.2"/>
    <row r="318" ht="13.5" customHeight="1" x14ac:dyDescent="0.2"/>
    <row r="319" ht="13.5" customHeight="1" x14ac:dyDescent="0.2"/>
    <row r="320" ht="13.5" customHeight="1" x14ac:dyDescent="0.2"/>
    <row r="321" ht="13.5" customHeight="1" x14ac:dyDescent="0.2"/>
    <row r="322" ht="13.5" customHeight="1" x14ac:dyDescent="0.2"/>
    <row r="323" ht="13.5" customHeight="1" x14ac:dyDescent="0.2"/>
    <row r="324" ht="13.5" customHeight="1" x14ac:dyDescent="0.2"/>
    <row r="325" ht="13.5" customHeight="1" x14ac:dyDescent="0.2"/>
    <row r="326" ht="13.5" customHeight="1" x14ac:dyDescent="0.2"/>
    <row r="327" ht="13.5" customHeight="1" x14ac:dyDescent="0.2"/>
    <row r="328" ht="13.5" customHeight="1" x14ac:dyDescent="0.2"/>
    <row r="329" ht="13.5" customHeight="1" x14ac:dyDescent="0.2"/>
    <row r="330" ht="13.5" customHeight="1" x14ac:dyDescent="0.2"/>
    <row r="331" ht="13.5" customHeight="1" x14ac:dyDescent="0.2"/>
    <row r="332" ht="13.5" customHeight="1" x14ac:dyDescent="0.2"/>
    <row r="333" ht="13.5" customHeight="1" x14ac:dyDescent="0.2"/>
    <row r="334" ht="13.5" customHeight="1" x14ac:dyDescent="0.2"/>
    <row r="335" ht="13.5" customHeight="1" x14ac:dyDescent="0.2"/>
    <row r="336" ht="13.5" customHeight="1" x14ac:dyDescent="0.2"/>
    <row r="337" ht="13.5" customHeight="1" x14ac:dyDescent="0.2"/>
    <row r="338" ht="13.5" customHeight="1" x14ac:dyDescent="0.2"/>
    <row r="339" ht="13.5" customHeight="1" x14ac:dyDescent="0.2"/>
    <row r="340" ht="13.5" customHeight="1" x14ac:dyDescent="0.2"/>
    <row r="341" ht="13.5" customHeight="1" x14ac:dyDescent="0.2"/>
    <row r="342" ht="13.5" customHeight="1" x14ac:dyDescent="0.2"/>
    <row r="343" ht="13.5" customHeight="1" x14ac:dyDescent="0.2"/>
    <row r="344" ht="13.5" customHeight="1" x14ac:dyDescent="0.2"/>
    <row r="345" ht="13.5" customHeight="1" x14ac:dyDescent="0.2"/>
    <row r="346" ht="13.5" customHeight="1" x14ac:dyDescent="0.2"/>
    <row r="347" ht="13.5" customHeight="1" x14ac:dyDescent="0.2"/>
    <row r="348" ht="13.5" customHeight="1" x14ac:dyDescent="0.2"/>
    <row r="349" ht="13.5" customHeight="1" x14ac:dyDescent="0.2"/>
    <row r="350" ht="13.5" customHeight="1" x14ac:dyDescent="0.2"/>
    <row r="351" ht="13.5" customHeight="1" x14ac:dyDescent="0.2"/>
    <row r="352" ht="13.5" customHeight="1" x14ac:dyDescent="0.2"/>
    <row r="353" ht="13.5" customHeight="1" x14ac:dyDescent="0.2"/>
    <row r="354" ht="13.5" customHeight="1" x14ac:dyDescent="0.2"/>
    <row r="355" ht="13.5" customHeight="1" x14ac:dyDescent="0.2"/>
    <row r="356" ht="13.5" customHeight="1" x14ac:dyDescent="0.2"/>
    <row r="357" ht="13.5" customHeight="1" x14ac:dyDescent="0.2"/>
    <row r="358" ht="13.5" customHeight="1" x14ac:dyDescent="0.2"/>
    <row r="359" ht="13.5" customHeight="1" x14ac:dyDescent="0.2"/>
    <row r="360" ht="13.5" customHeight="1" x14ac:dyDescent="0.2"/>
    <row r="361" ht="13.5" customHeight="1" x14ac:dyDescent="0.2"/>
    <row r="362" ht="13.5" customHeight="1" x14ac:dyDescent="0.2"/>
    <row r="363" ht="13.5" customHeight="1" x14ac:dyDescent="0.2"/>
    <row r="364" ht="13.5" customHeight="1" x14ac:dyDescent="0.2"/>
    <row r="365" ht="13.5" customHeight="1" x14ac:dyDescent="0.2"/>
    <row r="366" ht="13.5" customHeight="1" x14ac:dyDescent="0.2"/>
    <row r="367" ht="13.5" customHeight="1" x14ac:dyDescent="0.2"/>
    <row r="368" ht="13.5" customHeight="1" x14ac:dyDescent="0.2"/>
    <row r="369" ht="13.5" customHeight="1" x14ac:dyDescent="0.2"/>
    <row r="370" ht="13.5" customHeight="1" x14ac:dyDescent="0.2"/>
    <row r="371" ht="13.5" customHeight="1" x14ac:dyDescent="0.2"/>
    <row r="372" ht="13.5" customHeight="1" x14ac:dyDescent="0.2"/>
    <row r="373" ht="13.5" customHeight="1" x14ac:dyDescent="0.2"/>
    <row r="374" ht="13.5" customHeight="1" x14ac:dyDescent="0.2"/>
    <row r="375" ht="13.5" customHeight="1" x14ac:dyDescent="0.2"/>
    <row r="376" ht="13.5" customHeight="1" x14ac:dyDescent="0.2"/>
    <row r="377" ht="13.5" customHeight="1" x14ac:dyDescent="0.2"/>
    <row r="378" ht="13.5" customHeight="1" x14ac:dyDescent="0.2"/>
    <row r="379" ht="13.5" customHeight="1" x14ac:dyDescent="0.2"/>
    <row r="380" ht="13.5" customHeight="1" x14ac:dyDescent="0.2"/>
    <row r="381" ht="13.5" customHeight="1" x14ac:dyDescent="0.2"/>
    <row r="382" ht="13.5" customHeight="1" x14ac:dyDescent="0.2"/>
    <row r="383" ht="13.5" customHeight="1" x14ac:dyDescent="0.2"/>
    <row r="384" ht="13.5" customHeight="1" x14ac:dyDescent="0.2"/>
    <row r="385" ht="13.5" customHeight="1" x14ac:dyDescent="0.2"/>
    <row r="386" ht="13.5" customHeight="1" x14ac:dyDescent="0.2"/>
    <row r="387" ht="13.5" customHeight="1" x14ac:dyDescent="0.2"/>
    <row r="388" ht="13.5" customHeight="1" x14ac:dyDescent="0.2"/>
    <row r="389" ht="13.5" customHeight="1" x14ac:dyDescent="0.2"/>
    <row r="390" ht="13.5" customHeight="1" x14ac:dyDescent="0.2"/>
    <row r="391" ht="13.5" customHeight="1" x14ac:dyDescent="0.2"/>
    <row r="392" ht="13.5" customHeight="1" x14ac:dyDescent="0.2"/>
    <row r="393" ht="13.5" customHeight="1" x14ac:dyDescent="0.2"/>
    <row r="394" ht="13.5" customHeight="1" x14ac:dyDescent="0.2"/>
    <row r="395" ht="13.5" customHeight="1" x14ac:dyDescent="0.2"/>
    <row r="396" ht="13.5" customHeight="1" x14ac:dyDescent="0.2"/>
    <row r="397" ht="13.5" customHeight="1" x14ac:dyDescent="0.2"/>
    <row r="398" ht="13.5" customHeight="1" x14ac:dyDescent="0.2"/>
    <row r="399" ht="13.5" customHeight="1" x14ac:dyDescent="0.2"/>
    <row r="400" ht="13.5" customHeight="1" x14ac:dyDescent="0.2"/>
    <row r="401" ht="13.5" customHeight="1" x14ac:dyDescent="0.2"/>
    <row r="402" ht="13.5" customHeight="1" x14ac:dyDescent="0.2"/>
    <row r="403" ht="13.5" customHeight="1" x14ac:dyDescent="0.2"/>
    <row r="404" ht="13.5" customHeight="1" x14ac:dyDescent="0.2"/>
    <row r="405" ht="13.5" customHeight="1" x14ac:dyDescent="0.2"/>
    <row r="406" ht="13.5" customHeight="1" x14ac:dyDescent="0.2"/>
    <row r="407" ht="13.5" customHeight="1" x14ac:dyDescent="0.2"/>
    <row r="408" ht="13.5" customHeight="1" x14ac:dyDescent="0.2"/>
    <row r="409" ht="13.5" customHeight="1" x14ac:dyDescent="0.2"/>
    <row r="410" ht="13.5" customHeight="1" x14ac:dyDescent="0.2"/>
    <row r="411" ht="13.5" customHeight="1" x14ac:dyDescent="0.2"/>
    <row r="412" ht="13.5" customHeight="1" x14ac:dyDescent="0.2"/>
    <row r="413" ht="13.5" customHeight="1" x14ac:dyDescent="0.2"/>
    <row r="414" ht="13.5" customHeight="1" x14ac:dyDescent="0.2"/>
    <row r="415" ht="13.5" customHeight="1" x14ac:dyDescent="0.2"/>
    <row r="416" ht="13.5" customHeight="1" x14ac:dyDescent="0.2"/>
    <row r="417" ht="13.5" customHeight="1" x14ac:dyDescent="0.2"/>
    <row r="418" ht="13.5" customHeight="1" x14ac:dyDescent="0.2"/>
    <row r="419" ht="13.5" customHeight="1" x14ac:dyDescent="0.2"/>
    <row r="420" ht="13.5" customHeight="1" x14ac:dyDescent="0.2"/>
    <row r="421" ht="13.5" customHeight="1" x14ac:dyDescent="0.2"/>
    <row r="422" ht="13.5" customHeight="1" x14ac:dyDescent="0.2"/>
    <row r="423" ht="13.5" customHeight="1" x14ac:dyDescent="0.2"/>
    <row r="424" ht="13.5" customHeight="1" x14ac:dyDescent="0.2"/>
    <row r="425" ht="13.5" customHeight="1" x14ac:dyDescent="0.2"/>
    <row r="426" ht="13.5" customHeight="1" x14ac:dyDescent="0.2"/>
    <row r="427" ht="13.5" customHeight="1" x14ac:dyDescent="0.2"/>
    <row r="428" ht="13.5" customHeight="1" x14ac:dyDescent="0.2"/>
    <row r="429" ht="13.5" customHeight="1" x14ac:dyDescent="0.2"/>
    <row r="430" ht="13.5" customHeight="1" x14ac:dyDescent="0.2"/>
    <row r="431" ht="13.5" customHeight="1" x14ac:dyDescent="0.2"/>
    <row r="432" ht="13.5" customHeight="1" x14ac:dyDescent="0.2"/>
    <row r="433" ht="13.5" customHeight="1" x14ac:dyDescent="0.2"/>
    <row r="434" ht="13.5" customHeight="1" x14ac:dyDescent="0.2"/>
    <row r="435" ht="13.5" customHeight="1" x14ac:dyDescent="0.2"/>
    <row r="436" ht="13.5" customHeight="1" x14ac:dyDescent="0.2"/>
    <row r="437" ht="13.5" customHeight="1" x14ac:dyDescent="0.2"/>
    <row r="438" ht="13.5" customHeight="1" x14ac:dyDescent="0.2"/>
    <row r="439" ht="13.5" customHeight="1" x14ac:dyDescent="0.2"/>
    <row r="440" ht="13.5" customHeight="1" x14ac:dyDescent="0.2"/>
    <row r="441" ht="13.5" customHeight="1" x14ac:dyDescent="0.2"/>
    <row r="442" ht="13.5" customHeight="1" x14ac:dyDescent="0.2"/>
    <row r="443" ht="13.5" customHeight="1" x14ac:dyDescent="0.2"/>
    <row r="444" ht="13.5" customHeight="1" x14ac:dyDescent="0.2"/>
    <row r="445" ht="13.5" customHeight="1" x14ac:dyDescent="0.2"/>
    <row r="446" ht="13.5" customHeight="1" x14ac:dyDescent="0.2"/>
    <row r="447" ht="13.5" customHeight="1" x14ac:dyDescent="0.2"/>
    <row r="448" ht="13.5" customHeight="1" x14ac:dyDescent="0.2"/>
    <row r="449" ht="13.5" customHeight="1" x14ac:dyDescent="0.2"/>
    <row r="450" ht="13.5" customHeight="1" x14ac:dyDescent="0.2"/>
    <row r="451" ht="13.5" customHeight="1" x14ac:dyDescent="0.2"/>
    <row r="452" ht="13.5" customHeight="1" x14ac:dyDescent="0.2"/>
    <row r="453" ht="13.5" customHeight="1" x14ac:dyDescent="0.2"/>
    <row r="454" ht="13.5" customHeight="1" x14ac:dyDescent="0.2"/>
    <row r="455" ht="13.5" customHeight="1" x14ac:dyDescent="0.2"/>
    <row r="456" ht="13.5" customHeight="1" x14ac:dyDescent="0.2"/>
    <row r="457" ht="13.5" customHeight="1" x14ac:dyDescent="0.2"/>
    <row r="458" ht="13.5" customHeight="1" x14ac:dyDescent="0.2"/>
    <row r="459" ht="13.5" customHeight="1" x14ac:dyDescent="0.2"/>
    <row r="460" ht="13.5" customHeight="1" x14ac:dyDescent="0.2"/>
    <row r="461" ht="13.5" customHeight="1" x14ac:dyDescent="0.2"/>
    <row r="462" ht="13.5" customHeight="1" x14ac:dyDescent="0.2"/>
    <row r="463" ht="13.5" customHeight="1" x14ac:dyDescent="0.2"/>
    <row r="464" ht="13.5" customHeight="1" x14ac:dyDescent="0.2"/>
    <row r="465" ht="13.5" customHeight="1" x14ac:dyDescent="0.2"/>
    <row r="466" ht="13.5" customHeight="1" x14ac:dyDescent="0.2"/>
    <row r="467" ht="13.5" customHeight="1" x14ac:dyDescent="0.2"/>
    <row r="468" ht="13.5" customHeight="1" x14ac:dyDescent="0.2"/>
    <row r="469" ht="13.5" customHeight="1" x14ac:dyDescent="0.2"/>
    <row r="470" ht="13.5" customHeight="1" x14ac:dyDescent="0.2"/>
    <row r="471" ht="13.5" customHeight="1" x14ac:dyDescent="0.2"/>
    <row r="472" ht="13.5" customHeight="1" x14ac:dyDescent="0.2"/>
    <row r="473" ht="13.5" customHeight="1" x14ac:dyDescent="0.2"/>
    <row r="474" ht="13.5" customHeight="1" x14ac:dyDescent="0.2"/>
    <row r="475" ht="13.5" customHeight="1" x14ac:dyDescent="0.2"/>
    <row r="476" ht="13.5" customHeight="1" x14ac:dyDescent="0.2"/>
    <row r="477" ht="13.5" customHeight="1" x14ac:dyDescent="0.2"/>
    <row r="478" ht="13.5" customHeight="1" x14ac:dyDescent="0.2"/>
    <row r="479" ht="13.5" customHeight="1" x14ac:dyDescent="0.2"/>
    <row r="480" ht="13.5" customHeight="1" x14ac:dyDescent="0.2"/>
    <row r="481" ht="13.5" customHeight="1" x14ac:dyDescent="0.2"/>
    <row r="482" ht="13.5" customHeight="1" x14ac:dyDescent="0.2"/>
    <row r="483" ht="13.5" customHeight="1" x14ac:dyDescent="0.2"/>
    <row r="484" ht="13.5" customHeight="1" x14ac:dyDescent="0.2"/>
    <row r="485" ht="13.5" customHeight="1" x14ac:dyDescent="0.2"/>
    <row r="486" ht="13.5" customHeight="1" x14ac:dyDescent="0.2"/>
    <row r="487" ht="13.5" customHeight="1" x14ac:dyDescent="0.2"/>
    <row r="488" ht="13.5" customHeight="1" x14ac:dyDescent="0.2"/>
    <row r="489" ht="13.5" customHeight="1" x14ac:dyDescent="0.2"/>
    <row r="490" ht="13.5" customHeight="1" x14ac:dyDescent="0.2"/>
    <row r="491" ht="13.5" customHeight="1" x14ac:dyDescent="0.2"/>
    <row r="492" ht="13.5" customHeight="1" x14ac:dyDescent="0.2"/>
    <row r="493" ht="13.5" customHeight="1" x14ac:dyDescent="0.2"/>
    <row r="494" ht="13.5" customHeight="1" x14ac:dyDescent="0.2"/>
    <row r="495" ht="13.5" customHeight="1" x14ac:dyDescent="0.2"/>
    <row r="496" ht="13.5" customHeight="1" x14ac:dyDescent="0.2"/>
    <row r="497" ht="13.5" customHeight="1" x14ac:dyDescent="0.2"/>
    <row r="498" ht="13.5" customHeight="1" x14ac:dyDescent="0.2"/>
    <row r="499" ht="13.5" customHeight="1" x14ac:dyDescent="0.2"/>
    <row r="500" ht="13.5" customHeight="1" x14ac:dyDescent="0.2"/>
    <row r="501" ht="13.5" customHeight="1" x14ac:dyDescent="0.2"/>
    <row r="502" ht="13.5" customHeight="1" x14ac:dyDescent="0.2"/>
    <row r="503" ht="13.5" customHeight="1" x14ac:dyDescent="0.2"/>
    <row r="504" ht="13.5" customHeight="1" x14ac:dyDescent="0.2"/>
    <row r="505" ht="13.5" customHeight="1" x14ac:dyDescent="0.2"/>
    <row r="506" ht="13.5" customHeight="1" x14ac:dyDescent="0.2"/>
    <row r="507" ht="13.5" customHeight="1" x14ac:dyDescent="0.2"/>
    <row r="508" ht="13.5" customHeight="1" x14ac:dyDescent="0.2"/>
    <row r="509" ht="13.5" customHeight="1" x14ac:dyDescent="0.2"/>
    <row r="510" ht="13.5" customHeight="1" x14ac:dyDescent="0.2"/>
    <row r="511" ht="13.5" customHeight="1" x14ac:dyDescent="0.2"/>
    <row r="512" ht="13.5" customHeight="1" x14ac:dyDescent="0.2"/>
    <row r="513" ht="13.5" customHeight="1" x14ac:dyDescent="0.2"/>
    <row r="514" ht="13.5" customHeight="1" x14ac:dyDescent="0.2"/>
    <row r="515" ht="13.5" customHeight="1" x14ac:dyDescent="0.2"/>
    <row r="516" ht="13.5" customHeight="1" x14ac:dyDescent="0.2"/>
    <row r="517" ht="13.5" customHeight="1" x14ac:dyDescent="0.2"/>
    <row r="518" ht="13.5" customHeight="1" x14ac:dyDescent="0.2"/>
    <row r="519" ht="13.5" customHeight="1" x14ac:dyDescent="0.2"/>
    <row r="520" ht="13.5" customHeight="1" x14ac:dyDescent="0.2"/>
    <row r="521" ht="13.5" customHeight="1" x14ac:dyDescent="0.2"/>
    <row r="522" ht="13.5" customHeight="1" x14ac:dyDescent="0.2"/>
    <row r="523" ht="13.5" customHeight="1" x14ac:dyDescent="0.2"/>
    <row r="524" ht="13.5" customHeight="1" x14ac:dyDescent="0.2"/>
    <row r="525" ht="13.5" customHeight="1" x14ac:dyDescent="0.2"/>
    <row r="526" ht="13.5" customHeight="1" x14ac:dyDescent="0.2"/>
    <row r="527" ht="13.5" customHeight="1" x14ac:dyDescent="0.2"/>
    <row r="528" ht="13.5" customHeight="1" x14ac:dyDescent="0.2"/>
    <row r="529" ht="13.5" customHeight="1" x14ac:dyDescent="0.2"/>
    <row r="530" ht="13.5" customHeight="1" x14ac:dyDescent="0.2"/>
    <row r="531" ht="13.5" customHeight="1" x14ac:dyDescent="0.2"/>
    <row r="532" ht="13.5" customHeight="1" x14ac:dyDescent="0.2"/>
    <row r="533" ht="13.5" customHeight="1" x14ac:dyDescent="0.2"/>
    <row r="534" ht="13.5" customHeight="1" x14ac:dyDescent="0.2"/>
    <row r="535" ht="13.5" customHeight="1" x14ac:dyDescent="0.2"/>
    <row r="536" ht="13.5" customHeight="1" x14ac:dyDescent="0.2"/>
    <row r="537" ht="13.5" customHeight="1" x14ac:dyDescent="0.2"/>
    <row r="538" ht="13.5" customHeight="1" x14ac:dyDescent="0.2"/>
    <row r="539" ht="13.5" customHeight="1" x14ac:dyDescent="0.2"/>
    <row r="540" ht="13.5" customHeight="1" x14ac:dyDescent="0.2"/>
    <row r="541" ht="13.5" customHeight="1" x14ac:dyDescent="0.2"/>
    <row r="542" ht="13.5" customHeight="1" x14ac:dyDescent="0.2"/>
    <row r="543" ht="13.5" customHeight="1" x14ac:dyDescent="0.2"/>
    <row r="544" ht="13.5" customHeight="1" x14ac:dyDescent="0.2"/>
    <row r="545" ht="13.5" customHeight="1" x14ac:dyDescent="0.2"/>
    <row r="546" ht="13.5" customHeight="1" x14ac:dyDescent="0.2"/>
    <row r="547" ht="13.5" customHeight="1" x14ac:dyDescent="0.2"/>
    <row r="548" ht="13.5" customHeight="1" x14ac:dyDescent="0.2"/>
    <row r="549" ht="13.5" customHeight="1" x14ac:dyDescent="0.2"/>
    <row r="550" ht="13.5" customHeight="1" x14ac:dyDescent="0.2"/>
    <row r="551" ht="13.5" customHeight="1" x14ac:dyDescent="0.2"/>
    <row r="552" ht="13.5" customHeight="1" x14ac:dyDescent="0.2"/>
    <row r="553" ht="13.5" customHeight="1" x14ac:dyDescent="0.2"/>
    <row r="554" ht="13.5" customHeight="1" x14ac:dyDescent="0.2"/>
    <row r="555" ht="13.5" customHeight="1" x14ac:dyDescent="0.2"/>
    <row r="556" ht="13.5" customHeight="1" x14ac:dyDescent="0.2"/>
    <row r="557" ht="13.5" customHeight="1" x14ac:dyDescent="0.2"/>
    <row r="558" ht="13.5" customHeight="1" x14ac:dyDescent="0.2"/>
    <row r="559" ht="13.5" customHeight="1" x14ac:dyDescent="0.2"/>
    <row r="560" ht="13.5" customHeight="1" x14ac:dyDescent="0.2"/>
    <row r="561" ht="13.5" customHeight="1" x14ac:dyDescent="0.2"/>
    <row r="562" ht="13.5" customHeight="1" x14ac:dyDescent="0.2"/>
    <row r="563" ht="13.5" customHeight="1" x14ac:dyDescent="0.2"/>
    <row r="564" ht="13.5" customHeight="1" x14ac:dyDescent="0.2"/>
    <row r="565" ht="13.5" customHeight="1" x14ac:dyDescent="0.2"/>
    <row r="566" ht="13.5" customHeight="1" x14ac:dyDescent="0.2"/>
    <row r="567" ht="13.5" customHeight="1" x14ac:dyDescent="0.2"/>
    <row r="568" ht="13.5" customHeight="1" x14ac:dyDescent="0.2"/>
    <row r="569" ht="13.5" customHeight="1" x14ac:dyDescent="0.2"/>
    <row r="570" ht="13.5" customHeight="1" x14ac:dyDescent="0.2"/>
    <row r="571" ht="13.5" customHeight="1" x14ac:dyDescent="0.2"/>
    <row r="572" ht="13.5" customHeight="1" x14ac:dyDescent="0.2"/>
    <row r="573" ht="13.5" customHeight="1" x14ac:dyDescent="0.2"/>
    <row r="574" ht="13.5" customHeight="1" x14ac:dyDescent="0.2"/>
    <row r="575" ht="13.5" customHeight="1" x14ac:dyDescent="0.2"/>
    <row r="576" ht="13.5" customHeight="1" x14ac:dyDescent="0.2"/>
    <row r="577" ht="13.5" customHeight="1" x14ac:dyDescent="0.2"/>
    <row r="578" ht="13.5" customHeight="1" x14ac:dyDescent="0.2"/>
    <row r="579" ht="13.5" customHeight="1" x14ac:dyDescent="0.2"/>
    <row r="580" ht="13.5" customHeight="1" x14ac:dyDescent="0.2"/>
    <row r="581" ht="13.5" customHeight="1" x14ac:dyDescent="0.2"/>
    <row r="582" ht="13.5" customHeight="1" x14ac:dyDescent="0.2"/>
    <row r="583" ht="13.5" customHeight="1" x14ac:dyDescent="0.2"/>
    <row r="584" ht="13.5" customHeight="1" x14ac:dyDescent="0.2"/>
    <row r="585" ht="13.5" customHeight="1" x14ac:dyDescent="0.2"/>
    <row r="586" ht="13.5" customHeight="1" x14ac:dyDescent="0.2"/>
    <row r="587" ht="13.5" customHeight="1" x14ac:dyDescent="0.2"/>
    <row r="588" ht="13.5" customHeight="1" x14ac:dyDescent="0.2"/>
    <row r="589" ht="13.5" customHeight="1" x14ac:dyDescent="0.2"/>
    <row r="590" ht="13.5" customHeight="1" x14ac:dyDescent="0.2"/>
    <row r="591" ht="13.5" customHeight="1" x14ac:dyDescent="0.2"/>
    <row r="592" ht="13.5" customHeight="1" x14ac:dyDescent="0.2"/>
    <row r="593" ht="13.5" customHeight="1" x14ac:dyDescent="0.2"/>
    <row r="594" ht="13.5" customHeight="1" x14ac:dyDescent="0.2"/>
    <row r="595" ht="13.5" customHeight="1" x14ac:dyDescent="0.2"/>
    <row r="596" ht="13.5" customHeight="1" x14ac:dyDescent="0.2"/>
    <row r="597" ht="13.5" customHeight="1" x14ac:dyDescent="0.2"/>
    <row r="598" ht="13.5" customHeight="1" x14ac:dyDescent="0.2"/>
    <row r="599" ht="13.5" customHeight="1" x14ac:dyDescent="0.2"/>
    <row r="600" ht="13.5" customHeight="1" x14ac:dyDescent="0.2"/>
    <row r="601" ht="13.5" customHeight="1" x14ac:dyDescent="0.2"/>
    <row r="602" ht="13.5" customHeight="1" x14ac:dyDescent="0.2"/>
    <row r="603" ht="13.5" customHeight="1" x14ac:dyDescent="0.2"/>
    <row r="604" ht="13.5" customHeight="1" x14ac:dyDescent="0.2"/>
    <row r="605" ht="13.5" customHeight="1" x14ac:dyDescent="0.2"/>
    <row r="606" ht="13.5" customHeight="1" x14ac:dyDescent="0.2"/>
    <row r="607" ht="13.5" customHeight="1" x14ac:dyDescent="0.2"/>
    <row r="608" ht="13.5" customHeight="1" x14ac:dyDescent="0.2"/>
    <row r="609" ht="13.5" customHeight="1" x14ac:dyDescent="0.2"/>
    <row r="610" ht="13.5" customHeight="1" x14ac:dyDescent="0.2"/>
    <row r="611" ht="13.5" customHeight="1" x14ac:dyDescent="0.2"/>
    <row r="612" ht="13.5" customHeight="1" x14ac:dyDescent="0.2"/>
    <row r="613" ht="13.5" customHeight="1" x14ac:dyDescent="0.2"/>
    <row r="614" ht="13.5" customHeight="1" x14ac:dyDescent="0.2"/>
    <row r="615" ht="13.5" customHeight="1" x14ac:dyDescent="0.2"/>
    <row r="616" ht="13.5" customHeight="1" x14ac:dyDescent="0.2"/>
    <row r="617" ht="13.5" customHeight="1" x14ac:dyDescent="0.2"/>
    <row r="618" ht="13.5" customHeight="1" x14ac:dyDescent="0.2"/>
    <row r="619" ht="13.5" customHeight="1" x14ac:dyDescent="0.2"/>
    <row r="620" ht="13.5" customHeight="1" x14ac:dyDescent="0.2"/>
    <row r="621" ht="13.5" customHeight="1" x14ac:dyDescent="0.2"/>
    <row r="622" ht="13.5" customHeight="1" x14ac:dyDescent="0.2"/>
    <row r="623" ht="13.5" customHeight="1" x14ac:dyDescent="0.2"/>
    <row r="624" ht="13.5" customHeight="1" x14ac:dyDescent="0.2"/>
    <row r="625" ht="13.5" customHeight="1" x14ac:dyDescent="0.2"/>
    <row r="626" ht="13.5" customHeight="1" x14ac:dyDescent="0.2"/>
    <row r="627" ht="13.5" customHeight="1" x14ac:dyDescent="0.2"/>
    <row r="628" ht="13.5" customHeight="1" x14ac:dyDescent="0.2"/>
    <row r="629" ht="13.5" customHeight="1" x14ac:dyDescent="0.2"/>
    <row r="630" ht="13.5" customHeight="1" x14ac:dyDescent="0.2"/>
    <row r="631" ht="13.5" customHeight="1" x14ac:dyDescent="0.2"/>
    <row r="632" ht="13.5" customHeight="1" x14ac:dyDescent="0.2"/>
    <row r="633" ht="13.5" customHeight="1" x14ac:dyDescent="0.2"/>
    <row r="634" ht="13.5" customHeight="1" x14ac:dyDescent="0.2"/>
    <row r="635" ht="13.5" customHeight="1" x14ac:dyDescent="0.2"/>
    <row r="636" ht="13.5" customHeight="1" x14ac:dyDescent="0.2"/>
    <row r="637" ht="13.5" customHeight="1" x14ac:dyDescent="0.2"/>
    <row r="638" ht="13.5" customHeight="1" x14ac:dyDescent="0.2"/>
    <row r="639" ht="13.5" customHeight="1" x14ac:dyDescent="0.2"/>
    <row r="640" ht="13.5" customHeight="1" x14ac:dyDescent="0.2"/>
    <row r="641" ht="13.5" customHeight="1" x14ac:dyDescent="0.2"/>
    <row r="642" ht="13.5" customHeight="1" x14ac:dyDescent="0.2"/>
    <row r="643" ht="13.5" customHeight="1" x14ac:dyDescent="0.2"/>
    <row r="644" ht="13.5" customHeight="1" x14ac:dyDescent="0.2"/>
    <row r="645" ht="13.5" customHeight="1" x14ac:dyDescent="0.2"/>
    <row r="646" ht="13.5" customHeight="1" x14ac:dyDescent="0.2"/>
    <row r="647" ht="13.5" customHeight="1" x14ac:dyDescent="0.2"/>
    <row r="648" ht="13.5" customHeight="1" x14ac:dyDescent="0.2"/>
    <row r="649" ht="13.5" customHeight="1" x14ac:dyDescent="0.2"/>
    <row r="650" ht="13.5" customHeight="1" x14ac:dyDescent="0.2"/>
    <row r="651" ht="13.5" customHeight="1" x14ac:dyDescent="0.2"/>
    <row r="652" ht="13.5" customHeight="1" x14ac:dyDescent="0.2"/>
    <row r="653" ht="13.5" customHeight="1" x14ac:dyDescent="0.2"/>
    <row r="654" ht="13.5" customHeight="1" x14ac:dyDescent="0.2"/>
    <row r="655" ht="13.5" customHeight="1" x14ac:dyDescent="0.2"/>
    <row r="656" ht="13.5" customHeight="1" x14ac:dyDescent="0.2"/>
    <row r="657" ht="13.5" customHeight="1" x14ac:dyDescent="0.2"/>
    <row r="658" ht="13.5" customHeight="1" x14ac:dyDescent="0.2"/>
    <row r="659" ht="13.5" customHeight="1" x14ac:dyDescent="0.2"/>
    <row r="660" ht="13.5" customHeight="1" x14ac:dyDescent="0.2"/>
    <row r="661" ht="13.5" customHeight="1" x14ac:dyDescent="0.2"/>
    <row r="662" ht="13.5" customHeight="1" x14ac:dyDescent="0.2"/>
    <row r="663" ht="13.5" customHeight="1" x14ac:dyDescent="0.2"/>
    <row r="664" ht="13.5" customHeight="1" x14ac:dyDescent="0.2"/>
  </sheetData>
  <protectedRanges>
    <protectedRange sqref="C10" name="ANNO_REGIME_3"/>
    <protectedRange sqref="C17:K17" name="STATO_PATRIMONIALE_1"/>
    <protectedRange sqref="C20:K26" name="STATO_PATRIMONIALE_10"/>
    <protectedRange sqref="C28:K32" name="STATO_PATRIMONIALE_11"/>
    <protectedRange sqref="C34:K38" name="STATO_PATRIMONIALE_12"/>
    <protectedRange sqref="C40:K41" name="STATO_PATRIMONIALE_13"/>
    <protectedRange sqref="C43:K47" name="STATO_PATRIMONIALE_14"/>
    <protectedRange sqref="C50:K53" name="STATO_PATRIMONIALE_15"/>
    <protectedRange sqref="E56" name="FLUSSI_CASSA_1"/>
    <protectedRange sqref="C56:K57" name="STATO_PATRIMONIALE_16"/>
    <protectedRange sqref="E56" name="CONTO_ECONOMICO_1"/>
    <protectedRange sqref="C59:K60" name="STATO_PATRIMONIALE_17"/>
    <protectedRange sqref="C62:K63" name="STATO_PATRIMONIALE_1_1"/>
    <protectedRange sqref="C65:K67" name="STATO_PATRIMONIALE_1_2"/>
    <protectedRange sqref="N18:AC20" name="FLUSSI_CASSA_12"/>
    <protectedRange sqref="N18:AC20" name="CONTO_ECONOMICO_6"/>
    <protectedRange sqref="N22:AC29" name="FLUSSI_CASSA_13"/>
    <protectedRange sqref="N22:AC29" name="CONTO_ECONOMICO_7"/>
    <protectedRange sqref="N32:AC34" name="FLUSSI_CASSA_14"/>
    <protectedRange sqref="N32:AC34" name="CONTO_ECONOMICO_8"/>
    <protectedRange sqref="N36:AC36" name="FLUSSI_CASSA_15"/>
    <protectedRange sqref="N36:AC36" name="CONTO_ECONOMICO_9"/>
    <protectedRange sqref="N47:T47" name="FLUSSI_CASSA_16"/>
    <protectedRange sqref="N50:T52" name="FLUSSI_CASSA_17"/>
    <protectedRange sqref="P53:Q54" name="FLUSSI_CASSA_18"/>
    <protectedRange sqref="N55:T55" name="FLUSSI_CASSA_19"/>
    <protectedRange sqref="N57:T57" name="FLUSSI_CASSA_20"/>
    <protectedRange sqref="N59:O59" name="FLUSSI_CASSA_21"/>
  </protectedRanges>
  <mergeCells count="61">
    <mergeCell ref="N49:T49"/>
    <mergeCell ref="BT11:BU11"/>
    <mergeCell ref="N10:V12"/>
    <mergeCell ref="N16:O16"/>
    <mergeCell ref="P16:Q16"/>
    <mergeCell ref="R16:S16"/>
    <mergeCell ref="T16:U16"/>
    <mergeCell ref="V16:W16"/>
    <mergeCell ref="X16:Y16"/>
    <mergeCell ref="Z41:AA41"/>
    <mergeCell ref="Y42:Y43"/>
    <mergeCell ref="Y49:AB49"/>
    <mergeCell ref="AV10:AV12"/>
    <mergeCell ref="BD11:BE11"/>
    <mergeCell ref="AW12:AY12"/>
    <mergeCell ref="BH12:BJ12"/>
    <mergeCell ref="DN12:DN14"/>
    <mergeCell ref="DN17:DN18"/>
    <mergeCell ref="DS12:DT12"/>
    <mergeCell ref="AW10:AZ10"/>
    <mergeCell ref="DQ10:DR10"/>
    <mergeCell ref="DS9:DT10"/>
    <mergeCell ref="DP9:DR9"/>
    <mergeCell ref="CO49:CP49"/>
    <mergeCell ref="BN11:BO11"/>
    <mergeCell ref="BP11:BQ11"/>
    <mergeCell ref="BR11:BS11"/>
    <mergeCell ref="CN35:CN37"/>
    <mergeCell ref="CN39:CN41"/>
    <mergeCell ref="CO22:CP22"/>
    <mergeCell ref="EW32:EW43"/>
    <mergeCell ref="EZ32:EZ43"/>
    <mergeCell ref="Z16:AA16"/>
    <mergeCell ref="AB16:AC16"/>
    <mergeCell ref="AD16:AE16"/>
    <mergeCell ref="BF17:BF18"/>
    <mergeCell ref="DO26:DO29"/>
    <mergeCell ref="DO31:DO35"/>
    <mergeCell ref="CZ22:DA22"/>
    <mergeCell ref="CS22:CT22"/>
    <mergeCell ref="CQ22:CR22"/>
    <mergeCell ref="DN26:DN29"/>
    <mergeCell ref="DN30:DN35"/>
    <mergeCell ref="DQ19:DR19"/>
    <mergeCell ref="DS19:DT19"/>
    <mergeCell ref="ED7:EE7"/>
    <mergeCell ref="ED15:EE15"/>
    <mergeCell ref="ED10:EE10"/>
    <mergeCell ref="ED18:EE18"/>
    <mergeCell ref="EU45:EW47"/>
    <mergeCell ref="EV7:EZ7"/>
    <mergeCell ref="EW8:EW14"/>
    <mergeCell ref="EZ8:EZ14"/>
    <mergeCell ref="EV15:EZ15"/>
    <mergeCell ref="EW16:EW22"/>
    <mergeCell ref="EZ16:EZ22"/>
    <mergeCell ref="EX45:EX47"/>
    <mergeCell ref="EV23:EZ23"/>
    <mergeCell ref="EW24:EW30"/>
    <mergeCell ref="EZ24:EZ30"/>
    <mergeCell ref="EV31:EZ31"/>
  </mergeCells>
  <conditionalFormatting sqref="C16:K16 C18:K19 C27:K27 C33:K33 C39:K39 C42:K42 C48:K49 C54:K55 C58:K58 C61:K61 C64:K64">
    <cfRule type="expression" dxfId="331" priority="2668">
      <formula>se+$K$15=""</formula>
    </cfRule>
  </conditionalFormatting>
  <conditionalFormatting sqref="K16 K18:K19 K27 K33 K39 K42 K48:K49 K54:K55 K58 K61 K64">
    <cfRule type="expression" dxfId="330" priority="2667">
      <formula>$K$15=""</formula>
    </cfRule>
  </conditionalFormatting>
  <conditionalFormatting sqref="J16 J18:J19 J27 J33 J39 J42 J48:J49 J54:J55 J58 J61 J64">
    <cfRule type="expression" dxfId="329" priority="2666">
      <formula>$J$15=""</formula>
    </cfRule>
  </conditionalFormatting>
  <conditionalFormatting sqref="I16 I18:I19 I27 I33 I39 I42 I48:I49 I54:I55 I58 I61 I64">
    <cfRule type="expression" dxfId="328" priority="2665">
      <formula>$I$15=""</formula>
    </cfRule>
  </conditionalFormatting>
  <conditionalFormatting sqref="H16 H18:H19 H27 H33 H39 H42 H48:H49 H54:H55 H58 H61 H64">
    <cfRule type="expression" dxfId="327" priority="2664">
      <formula>$H$15=""</formula>
    </cfRule>
  </conditionalFormatting>
  <conditionalFormatting sqref="G16 G18:G19 G27 G33 G39 G42 G48:G49 G54:G55 G58 G61 G64">
    <cfRule type="expression" dxfId="326" priority="2663">
      <formula>$G$15=""</formula>
    </cfRule>
  </conditionalFormatting>
  <conditionalFormatting sqref="F16 F18:F19 F27 F33 F39 F42 F48:F49 F54:F55 F58 F61 F64">
    <cfRule type="expression" dxfId="325" priority="2662">
      <formula>$F$15=""</formula>
    </cfRule>
  </conditionalFormatting>
  <conditionalFormatting sqref="E16 E18:E19 E27 E33 E39 E42 E48:E49 E54:E55 E58 E61 E64">
    <cfRule type="expression" dxfId="324" priority="2661">
      <formula>$E$15=""</formula>
    </cfRule>
  </conditionalFormatting>
  <conditionalFormatting sqref="O17 Q17 S17 U17 W17 Y17 AA17 AC17 AE17 AE21 AC21 AA21 Y21 W21 U21 S21 Q21 O21 O30:O31 Q30:Q31 S30:S31 U30:U31 W30:W31 Y30:Y31 AA30:AA31 AC30:AC31 AE30:AE31 AE35 AC35 AA35 Y35 W35 U35 S35 Q35 O35 O37 Q37 S37 U37 W37 Y37 AA37 AC37 AE37">
    <cfRule type="expression" dxfId="323" priority="2660">
      <formula>$C$2&lt;&gt;""</formula>
    </cfRule>
  </conditionalFormatting>
  <conditionalFormatting sqref="AD17:AE17 AD21:AE21 AD30:AE31 AD35:AE35 AD37:AE37">
    <cfRule type="expression" dxfId="322" priority="2659">
      <formula>$AD$14=""</formula>
    </cfRule>
  </conditionalFormatting>
  <conditionalFormatting sqref="AB17:AC17 AB30:AC30">
    <cfRule type="expression" priority="2658">
      <formula>$AB$14=""</formula>
    </cfRule>
  </conditionalFormatting>
  <conditionalFormatting sqref="X17:Y17 X30:Y31 X21:Y21 X35:Y35 X37:Y37">
    <cfRule type="expression" dxfId="321" priority="2656">
      <formula>$X$14=""</formula>
    </cfRule>
  </conditionalFormatting>
  <conditionalFormatting sqref="V17:W17 V30:W31 V21:W21 V35:W35 V37:W37">
    <cfRule type="expression" dxfId="320" priority="2655">
      <formula>$V$14=""</formula>
    </cfRule>
  </conditionalFormatting>
  <conditionalFormatting sqref="T17:U17 T30:U31 T21:U21 T35:U35 T37:U37">
    <cfRule type="expression" dxfId="319" priority="2654">
      <formula>$T$14=""</formula>
    </cfRule>
  </conditionalFormatting>
  <conditionalFormatting sqref="R17:S17 R21:S21 R30:S31 R35:S35 R37:S37">
    <cfRule type="expression" dxfId="318" priority="2653">
      <formula>$R$14=""</formula>
    </cfRule>
  </conditionalFormatting>
  <conditionalFormatting sqref="P17:Q17 P30:Q30">
    <cfRule type="expression" dxfId="317" priority="2652">
      <formula>$P$14=""</formula>
    </cfRule>
  </conditionalFormatting>
  <conditionalFormatting sqref="Z17:AA17 Z21:AA21 Z30:AA31 Z35:AA35 Z37:AA37">
    <cfRule type="expression" dxfId="316" priority="2651">
      <formula>$Z$14=""</formula>
    </cfRule>
  </conditionalFormatting>
  <conditionalFormatting sqref="AB17:AC17 AB21:AC21 AB30:AC31 AB35:AC35 AB37:AC37">
    <cfRule type="expression" dxfId="315" priority="2657">
      <formula>$AB$14=""</formula>
    </cfRule>
  </conditionalFormatting>
  <conditionalFormatting sqref="O17 O21 O30:O31 O35 O37">
    <cfRule type="expression" dxfId="314" priority="2648">
      <formula>$O$13&lt;0</formula>
    </cfRule>
  </conditionalFormatting>
  <conditionalFormatting sqref="Q17 Q21 Q30:Q31 Q35 Q37">
    <cfRule type="expression" dxfId="313" priority="2647">
      <formula>$Q$13&lt;0</formula>
    </cfRule>
  </conditionalFormatting>
  <conditionalFormatting sqref="S17 S21 S30:S31 S35 S37">
    <cfRule type="expression" dxfId="312" priority="2646">
      <formula>$S$13&lt;0</formula>
    </cfRule>
  </conditionalFormatting>
  <conditionalFormatting sqref="T43:T46 T53:T54 T48 T56 T58:T60">
    <cfRule type="expression" dxfId="311" priority="2645">
      <formula>$T$41=""</formula>
    </cfRule>
  </conditionalFormatting>
  <conditionalFormatting sqref="S43:S46 S53:S54 S48 S56 S58:S60">
    <cfRule type="expression" dxfId="310" priority="2644">
      <formula>$S$41=""</formula>
    </cfRule>
  </conditionalFormatting>
  <conditionalFormatting sqref="N10:V12">
    <cfRule type="expression" dxfId="309" priority="2643">
      <formula>$N$10&lt;&gt;""</formula>
    </cfRule>
  </conditionalFormatting>
  <conditionalFormatting sqref="N15:AE16">
    <cfRule type="cellIs" dxfId="308" priority="2642" operator="notEqual">
      <formula>""</formula>
    </cfRule>
  </conditionalFormatting>
  <conditionalFormatting sqref="C13:K13">
    <cfRule type="cellIs" dxfId="307" priority="2641" operator="notEqual">
      <formula>""</formula>
    </cfRule>
  </conditionalFormatting>
  <conditionalFormatting sqref="N41:T41">
    <cfRule type="cellIs" dxfId="306" priority="2640" operator="notEqual">
      <formula>""</formula>
    </cfRule>
  </conditionalFormatting>
  <conditionalFormatting sqref="C17:K17">
    <cfRule type="expression" dxfId="305" priority="155">
      <formula>se+$K$15=""</formula>
    </cfRule>
  </conditionalFormatting>
  <conditionalFormatting sqref="K17">
    <cfRule type="expression" dxfId="304" priority="154">
      <formula>$K$15=""</formula>
    </cfRule>
  </conditionalFormatting>
  <conditionalFormatting sqref="J17">
    <cfRule type="expression" dxfId="303" priority="153">
      <formula>$J$15=""</formula>
    </cfRule>
  </conditionalFormatting>
  <conditionalFormatting sqref="I17">
    <cfRule type="expression" dxfId="302" priority="152">
      <formula>$I$15=""</formula>
    </cfRule>
  </conditionalFormatting>
  <conditionalFormatting sqref="H17">
    <cfRule type="expression" dxfId="301" priority="151">
      <formula>$H$15=""</formula>
    </cfRule>
  </conditionalFormatting>
  <conditionalFormatting sqref="G17">
    <cfRule type="expression" dxfId="300" priority="150">
      <formula>$G$15=""</formula>
    </cfRule>
  </conditionalFormatting>
  <conditionalFormatting sqref="F17">
    <cfRule type="expression" dxfId="299" priority="149">
      <formula>$F$15=""</formula>
    </cfRule>
  </conditionalFormatting>
  <conditionalFormatting sqref="E17">
    <cfRule type="expression" dxfId="298" priority="148">
      <formula>$E$15=""</formula>
    </cfRule>
  </conditionalFormatting>
  <conditionalFormatting sqref="C20:K26">
    <cfRule type="expression" dxfId="297" priority="147">
      <formula>se+$K$15=""</formula>
    </cfRule>
  </conditionalFormatting>
  <conditionalFormatting sqref="K20:K26">
    <cfRule type="expression" dxfId="296" priority="146">
      <formula>$K$15=""</formula>
    </cfRule>
  </conditionalFormatting>
  <conditionalFormatting sqref="J20:J26">
    <cfRule type="expression" dxfId="295" priority="145">
      <formula>$J$15=""</formula>
    </cfRule>
  </conditionalFormatting>
  <conditionalFormatting sqref="I20:I26">
    <cfRule type="expression" dxfId="294" priority="144">
      <formula>$I$15=""</formula>
    </cfRule>
  </conditionalFormatting>
  <conditionalFormatting sqref="H20:H26">
    <cfRule type="expression" dxfId="293" priority="143">
      <formula>$H$15=""</formula>
    </cfRule>
  </conditionalFormatting>
  <conditionalFormatting sqref="G20:G26">
    <cfRule type="expression" dxfId="292" priority="142">
      <formula>$G$15=""</formula>
    </cfRule>
  </conditionalFormatting>
  <conditionalFormatting sqref="F20:F26">
    <cfRule type="expression" dxfId="291" priority="141">
      <formula>$F$15=""</formula>
    </cfRule>
  </conditionalFormatting>
  <conditionalFormatting sqref="E20:E26">
    <cfRule type="expression" dxfId="290" priority="140">
      <formula>$E$15=""</formula>
    </cfRule>
  </conditionalFormatting>
  <conditionalFormatting sqref="C28:K32">
    <cfRule type="expression" dxfId="289" priority="139">
      <formula>se+$K$15=""</formula>
    </cfRule>
  </conditionalFormatting>
  <conditionalFormatting sqref="K28:K32">
    <cfRule type="expression" dxfId="288" priority="138">
      <formula>$K$15=""</formula>
    </cfRule>
  </conditionalFormatting>
  <conditionalFormatting sqref="J28:J32">
    <cfRule type="expression" dxfId="287" priority="137">
      <formula>$J$15=""</formula>
    </cfRule>
  </conditionalFormatting>
  <conditionalFormatting sqref="I28:I32">
    <cfRule type="expression" dxfId="286" priority="136">
      <formula>$I$15=""</formula>
    </cfRule>
  </conditionalFormatting>
  <conditionalFormatting sqref="H28:H32">
    <cfRule type="expression" dxfId="285" priority="135">
      <formula>$H$15=""</formula>
    </cfRule>
  </conditionalFormatting>
  <conditionalFormatting sqref="G28:G32">
    <cfRule type="expression" dxfId="284" priority="134">
      <formula>$G$15=""</formula>
    </cfRule>
  </conditionalFormatting>
  <conditionalFormatting sqref="F28:F32">
    <cfRule type="expression" dxfId="283" priority="133">
      <formula>$F$15=""</formula>
    </cfRule>
  </conditionalFormatting>
  <conditionalFormatting sqref="E28:E32">
    <cfRule type="expression" dxfId="282" priority="132">
      <formula>$E$15=""</formula>
    </cfRule>
  </conditionalFormatting>
  <conditionalFormatting sqref="C34:K38">
    <cfRule type="expression" dxfId="281" priority="131">
      <formula>se+$K$15=""</formula>
    </cfRule>
  </conditionalFormatting>
  <conditionalFormatting sqref="K34:K38">
    <cfRule type="expression" dxfId="280" priority="130">
      <formula>$K$15=""</formula>
    </cfRule>
  </conditionalFormatting>
  <conditionalFormatting sqref="J34:J38">
    <cfRule type="expression" dxfId="279" priority="129">
      <formula>$J$15=""</formula>
    </cfRule>
  </conditionalFormatting>
  <conditionalFormatting sqref="I34:I38">
    <cfRule type="expression" dxfId="278" priority="128">
      <formula>$I$15=""</formula>
    </cfRule>
  </conditionalFormatting>
  <conditionalFormatting sqref="H34:H38">
    <cfRule type="expression" dxfId="277" priority="127">
      <formula>$H$15=""</formula>
    </cfRule>
  </conditionalFormatting>
  <conditionalFormatting sqref="G34:G38">
    <cfRule type="expression" dxfId="276" priority="126">
      <formula>$G$15=""</formula>
    </cfRule>
  </conditionalFormatting>
  <conditionalFormatting sqref="F34:F38">
    <cfRule type="expression" dxfId="275" priority="125">
      <formula>$F$15=""</formula>
    </cfRule>
  </conditionalFormatting>
  <conditionalFormatting sqref="E34:E38">
    <cfRule type="expression" dxfId="274" priority="124">
      <formula>$E$15=""</formula>
    </cfRule>
  </conditionalFormatting>
  <conditionalFormatting sqref="C40:K41">
    <cfRule type="expression" dxfId="273" priority="123">
      <formula>se+$K$15=""</formula>
    </cfRule>
  </conditionalFormatting>
  <conditionalFormatting sqref="K40:K41">
    <cfRule type="expression" dxfId="272" priority="122">
      <formula>$K$15=""</formula>
    </cfRule>
  </conditionalFormatting>
  <conditionalFormatting sqref="J40:J41">
    <cfRule type="expression" dxfId="271" priority="121">
      <formula>$J$15=""</formula>
    </cfRule>
  </conditionalFormatting>
  <conditionalFormatting sqref="I40:I41">
    <cfRule type="expression" dxfId="270" priority="120">
      <formula>$I$15=""</formula>
    </cfRule>
  </conditionalFormatting>
  <conditionalFormatting sqref="H40:H41">
    <cfRule type="expression" dxfId="269" priority="119">
      <formula>$H$15=""</formula>
    </cfRule>
  </conditionalFormatting>
  <conditionalFormatting sqref="G40:G41">
    <cfRule type="expression" dxfId="268" priority="118">
      <formula>$G$15=""</formula>
    </cfRule>
  </conditionalFormatting>
  <conditionalFormatting sqref="F40:F41">
    <cfRule type="expression" dxfId="267" priority="117">
      <formula>$F$15=""</formula>
    </cfRule>
  </conditionalFormatting>
  <conditionalFormatting sqref="E40:E41">
    <cfRule type="expression" dxfId="266" priority="116">
      <formula>$E$15=""</formula>
    </cfRule>
  </conditionalFormatting>
  <conditionalFormatting sqref="H40:I40">
    <cfRule type="expression" dxfId="265" priority="115">
      <formula>$G$15=""</formula>
    </cfRule>
  </conditionalFormatting>
  <conditionalFormatting sqref="H40:I40">
    <cfRule type="expression" dxfId="264" priority="114">
      <formula>$G$15=""</formula>
    </cfRule>
  </conditionalFormatting>
  <conditionalFormatting sqref="C43:K47">
    <cfRule type="expression" dxfId="263" priority="113">
      <formula>se+$K$15=""</formula>
    </cfRule>
  </conditionalFormatting>
  <conditionalFormatting sqref="K43:K47">
    <cfRule type="expression" dxfId="262" priority="112">
      <formula>$K$15=""</formula>
    </cfRule>
  </conditionalFormatting>
  <conditionalFormatting sqref="J43:J47">
    <cfRule type="expression" dxfId="261" priority="111">
      <formula>$J$15=""</formula>
    </cfRule>
  </conditionalFormatting>
  <conditionalFormatting sqref="I43:I47">
    <cfRule type="expression" dxfId="260" priority="110">
      <formula>$I$15=""</formula>
    </cfRule>
  </conditionalFormatting>
  <conditionalFormatting sqref="H43:H47">
    <cfRule type="expression" dxfId="259" priority="109">
      <formula>$H$15=""</formula>
    </cfRule>
  </conditionalFormatting>
  <conditionalFormatting sqref="G43:G47">
    <cfRule type="expression" dxfId="258" priority="108">
      <formula>$G$15=""</formula>
    </cfRule>
  </conditionalFormatting>
  <conditionalFormatting sqref="F43:F47">
    <cfRule type="expression" dxfId="257" priority="107">
      <formula>$F$15=""</formula>
    </cfRule>
  </conditionalFormatting>
  <conditionalFormatting sqref="E43:E47">
    <cfRule type="expression" dxfId="256" priority="106">
      <formula>$E$15=""</formula>
    </cfRule>
  </conditionalFormatting>
  <conditionalFormatting sqref="C50:K53">
    <cfRule type="expression" dxfId="255" priority="105">
      <formula>se+$K$15=""</formula>
    </cfRule>
  </conditionalFormatting>
  <conditionalFormatting sqref="K50:K53">
    <cfRule type="expression" dxfId="254" priority="104">
      <formula>$K$15=""</formula>
    </cfRule>
  </conditionalFormatting>
  <conditionalFormatting sqref="J50:J53">
    <cfRule type="expression" dxfId="253" priority="103">
      <formula>$J$15=""</formula>
    </cfRule>
  </conditionalFormatting>
  <conditionalFormatting sqref="I50:I53">
    <cfRule type="expression" dxfId="252" priority="102">
      <formula>$I$15=""</formula>
    </cfRule>
  </conditionalFormatting>
  <conditionalFormatting sqref="H50:H53">
    <cfRule type="expression" dxfId="251" priority="101">
      <formula>$H$15=""</formula>
    </cfRule>
  </conditionalFormatting>
  <conditionalFormatting sqref="G50:G53">
    <cfRule type="expression" dxfId="250" priority="100">
      <formula>$G$15=""</formula>
    </cfRule>
  </conditionalFormatting>
  <conditionalFormatting sqref="F50:F53">
    <cfRule type="expression" dxfId="249" priority="99">
      <formula>$F$15=""</formula>
    </cfRule>
  </conditionalFormatting>
  <conditionalFormatting sqref="E50:E53">
    <cfRule type="expression" dxfId="248" priority="98">
      <formula>$E$15=""</formula>
    </cfRule>
  </conditionalFormatting>
  <conditionalFormatting sqref="C56:K57">
    <cfRule type="expression" dxfId="247" priority="97">
      <formula>se+$K$15=""</formula>
    </cfRule>
  </conditionalFormatting>
  <conditionalFormatting sqref="K56:K57">
    <cfRule type="expression" dxfId="246" priority="96">
      <formula>$K$15=""</formula>
    </cfRule>
  </conditionalFormatting>
  <conditionalFormatting sqref="J56:J57">
    <cfRule type="expression" dxfId="245" priority="95">
      <formula>$J$15=""</formula>
    </cfRule>
  </conditionalFormatting>
  <conditionalFormatting sqref="I56:I57">
    <cfRule type="expression" dxfId="244" priority="94">
      <formula>$I$15=""</formula>
    </cfRule>
  </conditionalFormatting>
  <conditionalFormatting sqref="H56:H57">
    <cfRule type="expression" dxfId="243" priority="93">
      <formula>$H$15=""</formula>
    </cfRule>
  </conditionalFormatting>
  <conditionalFormatting sqref="G56:G57">
    <cfRule type="expression" dxfId="242" priority="92">
      <formula>$G$15=""</formula>
    </cfRule>
  </conditionalFormatting>
  <conditionalFormatting sqref="F56:F57">
    <cfRule type="expression" dxfId="241" priority="91">
      <formula>$F$15=""</formula>
    </cfRule>
  </conditionalFormatting>
  <conditionalFormatting sqref="E56:E57">
    <cfRule type="expression" dxfId="240" priority="90">
      <formula>$E$15=""</formula>
    </cfRule>
  </conditionalFormatting>
  <conditionalFormatting sqref="C59:K60">
    <cfRule type="expression" dxfId="239" priority="89">
      <formula>se+$K$15=""</formula>
    </cfRule>
  </conditionalFormatting>
  <conditionalFormatting sqref="K59:K60">
    <cfRule type="expression" dxfId="238" priority="88">
      <formula>$K$15=""</formula>
    </cfRule>
  </conditionalFormatting>
  <conditionalFormatting sqref="J59:J60">
    <cfRule type="expression" dxfId="237" priority="87">
      <formula>$J$15=""</formula>
    </cfRule>
  </conditionalFormatting>
  <conditionalFormatting sqref="I59:I60">
    <cfRule type="expression" dxfId="236" priority="86">
      <formula>$I$15=""</formula>
    </cfRule>
  </conditionalFormatting>
  <conditionalFormatting sqref="H59:H60">
    <cfRule type="expression" dxfId="235" priority="85">
      <formula>$H$15=""</formula>
    </cfRule>
  </conditionalFormatting>
  <conditionalFormatting sqref="G59:G60">
    <cfRule type="expression" dxfId="234" priority="84">
      <formula>$G$15=""</formula>
    </cfRule>
  </conditionalFormatting>
  <conditionalFormatting sqref="F59:F60">
    <cfRule type="expression" dxfId="233" priority="83">
      <formula>$F$15=""</formula>
    </cfRule>
  </conditionalFormatting>
  <conditionalFormatting sqref="E59:E60">
    <cfRule type="expression" dxfId="232" priority="82">
      <formula>$E$15=""</formula>
    </cfRule>
  </conditionalFormatting>
  <conditionalFormatting sqref="C62:K63">
    <cfRule type="expression" dxfId="231" priority="81">
      <formula>se+$K$15=""</formula>
    </cfRule>
  </conditionalFormatting>
  <conditionalFormatting sqref="K62:K63">
    <cfRule type="expression" dxfId="230" priority="80">
      <formula>$K$15=""</formula>
    </cfRule>
  </conditionalFormatting>
  <conditionalFormatting sqref="J62:J63">
    <cfRule type="expression" dxfId="229" priority="79">
      <formula>$J$15=""</formula>
    </cfRule>
  </conditionalFormatting>
  <conditionalFormatting sqref="I62:I63">
    <cfRule type="expression" dxfId="228" priority="78">
      <formula>$I$15=""</formula>
    </cfRule>
  </conditionalFormatting>
  <conditionalFormatting sqref="H62:H63">
    <cfRule type="expression" dxfId="227" priority="77">
      <formula>$H$15=""</formula>
    </cfRule>
  </conditionalFormatting>
  <conditionalFormatting sqref="G62:G63">
    <cfRule type="expression" dxfId="226" priority="76">
      <formula>$G$15=""</formula>
    </cfRule>
  </conditionalFormatting>
  <conditionalFormatting sqref="F62:F63">
    <cfRule type="expression" dxfId="225" priority="75">
      <formula>$F$15=""</formula>
    </cfRule>
  </conditionalFormatting>
  <conditionalFormatting sqref="E62:E63">
    <cfRule type="expression" dxfId="224" priority="74">
      <formula>$E$15=""</formula>
    </cfRule>
  </conditionalFormatting>
  <conditionalFormatting sqref="C65:K67">
    <cfRule type="expression" dxfId="223" priority="73">
      <formula>se+$K$15=""</formula>
    </cfRule>
  </conditionalFormatting>
  <conditionalFormatting sqref="K65:K67">
    <cfRule type="expression" dxfId="222" priority="72">
      <formula>$K$15=""</formula>
    </cfRule>
  </conditionalFormatting>
  <conditionalFormatting sqref="J65:J67">
    <cfRule type="expression" dxfId="221" priority="71">
      <formula>$J$15=""</formula>
    </cfRule>
  </conditionalFormatting>
  <conditionalFormatting sqref="I65:I67">
    <cfRule type="expression" dxfId="220" priority="70">
      <formula>$I$15=""</formula>
    </cfRule>
  </conditionalFormatting>
  <conditionalFormatting sqref="H65:H67">
    <cfRule type="expression" dxfId="219" priority="69">
      <formula>$H$15=""</formula>
    </cfRule>
  </conditionalFormatting>
  <conditionalFormatting sqref="G65:G67">
    <cfRule type="expression" dxfId="218" priority="68">
      <formula>$G$15=""</formula>
    </cfRule>
  </conditionalFormatting>
  <conditionalFormatting sqref="F65:F67">
    <cfRule type="expression" dxfId="217" priority="67">
      <formula>$F$15=""</formula>
    </cfRule>
  </conditionalFormatting>
  <conditionalFormatting sqref="E65:E67">
    <cfRule type="expression" dxfId="216" priority="66">
      <formula>$E$15=""</formula>
    </cfRule>
  </conditionalFormatting>
  <conditionalFormatting sqref="AE18:AE20">
    <cfRule type="expression" dxfId="215" priority="65">
      <formula>$C$2&lt;&gt;""</formula>
    </cfRule>
  </conditionalFormatting>
  <conditionalFormatting sqref="AD18:AE20">
    <cfRule type="expression" dxfId="214" priority="64">
      <formula>$AD$14=""</formula>
    </cfRule>
  </conditionalFormatting>
  <conditionalFormatting sqref="O18:O20 Q18:Q20 S18:S20 U18:U20 W18:W20 Y18:Y20 AA18:AA20 AC18:AC20">
    <cfRule type="expression" dxfId="213" priority="63">
      <formula>$C$2&lt;&gt;""</formula>
    </cfRule>
  </conditionalFormatting>
  <conditionalFormatting sqref="AB18:AC20">
    <cfRule type="expression" priority="62">
      <formula>$AB$14=""</formula>
    </cfRule>
  </conditionalFormatting>
  <conditionalFormatting sqref="X18:Y20">
    <cfRule type="expression" dxfId="212" priority="60">
      <formula>$X$14=""</formula>
    </cfRule>
  </conditionalFormatting>
  <conditionalFormatting sqref="V18:W20">
    <cfRule type="expression" dxfId="211" priority="59">
      <formula>$V$14=""</formula>
    </cfRule>
  </conditionalFormatting>
  <conditionalFormatting sqref="U18:U20">
    <cfRule type="expression" dxfId="210" priority="58">
      <formula>$T$14=""</formula>
    </cfRule>
  </conditionalFormatting>
  <conditionalFormatting sqref="R18:S20">
    <cfRule type="expression" dxfId="209" priority="57">
      <formula>$R$14=""</formula>
    </cfRule>
  </conditionalFormatting>
  <conditionalFormatting sqref="P18:Q20">
    <cfRule type="expression" dxfId="208" priority="56">
      <formula>$P$14=""</formula>
    </cfRule>
  </conditionalFormatting>
  <conditionalFormatting sqref="Z18:AA20">
    <cfRule type="expression" dxfId="207" priority="55">
      <formula>$Z$14=""</formula>
    </cfRule>
  </conditionalFormatting>
  <conditionalFormatting sqref="AB18:AC20">
    <cfRule type="expression" dxfId="206" priority="61">
      <formula>$AB$14=""</formula>
    </cfRule>
  </conditionalFormatting>
  <conditionalFormatting sqref="O18:O20">
    <cfRule type="expression" dxfId="205" priority="54">
      <formula>$O$13&lt;0</formula>
    </cfRule>
  </conditionalFormatting>
  <conditionalFormatting sqref="Q18:Q20">
    <cfRule type="expression" dxfId="204" priority="53">
      <formula>$Q$13&lt;0</formula>
    </cfRule>
  </conditionalFormatting>
  <conditionalFormatting sqref="S18:S20">
    <cfRule type="expression" dxfId="203" priority="52">
      <formula>$S$13&lt;0</formula>
    </cfRule>
  </conditionalFormatting>
  <conditionalFormatting sqref="AE22:AE29">
    <cfRule type="expression" dxfId="202" priority="51">
      <formula>$C$2&lt;&gt;""</formula>
    </cfRule>
  </conditionalFormatting>
  <conditionalFormatting sqref="AD22:AE29">
    <cfRule type="expression" dxfId="201" priority="50">
      <formula>$AD$14=""</formula>
    </cfRule>
  </conditionalFormatting>
  <conditionalFormatting sqref="O22:O29 Q22:Q29 S22:S29 U22:U29 W22:W29 Y22:Y29 AA22:AA29 AC22:AC29">
    <cfRule type="expression" dxfId="200" priority="49">
      <formula>$C$2&lt;&gt;""</formula>
    </cfRule>
  </conditionalFormatting>
  <conditionalFormatting sqref="AB22:AC29">
    <cfRule type="expression" priority="48">
      <formula>$AB$14=""</formula>
    </cfRule>
  </conditionalFormatting>
  <conditionalFormatting sqref="X22:Y29">
    <cfRule type="expression" dxfId="199" priority="46">
      <formula>$X$14=""</formula>
    </cfRule>
  </conditionalFormatting>
  <conditionalFormatting sqref="V22:W29">
    <cfRule type="expression" dxfId="198" priority="45">
      <formula>$V$14=""</formula>
    </cfRule>
  </conditionalFormatting>
  <conditionalFormatting sqref="U22:U29">
    <cfRule type="expression" dxfId="197" priority="44">
      <formula>$T$14=""</formula>
    </cfRule>
  </conditionalFormatting>
  <conditionalFormatting sqref="R22:S29">
    <cfRule type="expression" dxfId="196" priority="43">
      <formula>$R$14=""</formula>
    </cfRule>
  </conditionalFormatting>
  <conditionalFormatting sqref="P22:Q29">
    <cfRule type="expression" dxfId="195" priority="42">
      <formula>$P$14=""</formula>
    </cfRule>
  </conditionalFormatting>
  <conditionalFormatting sqref="Z22:AA29">
    <cfRule type="expression" dxfId="194" priority="41">
      <formula>$Z$14=""</formula>
    </cfRule>
  </conditionalFormatting>
  <conditionalFormatting sqref="AB22:AC29">
    <cfRule type="expression" dxfId="193" priority="47">
      <formula>$AB$14=""</formula>
    </cfRule>
  </conditionalFormatting>
  <conditionalFormatting sqref="O22:O29">
    <cfRule type="expression" dxfId="192" priority="40">
      <formula>$O$13&lt;0</formula>
    </cfRule>
  </conditionalFormatting>
  <conditionalFormatting sqref="Q22:Q29">
    <cfRule type="expression" dxfId="191" priority="39">
      <formula>$Q$13&lt;0</formula>
    </cfRule>
  </conditionalFormatting>
  <conditionalFormatting sqref="S22:S29">
    <cfRule type="expression" dxfId="190" priority="38">
      <formula>$S$13&lt;0</formula>
    </cfRule>
  </conditionalFormatting>
  <conditionalFormatting sqref="AE32:AE34">
    <cfRule type="expression" dxfId="189" priority="37">
      <formula>$C$2&lt;&gt;""</formula>
    </cfRule>
  </conditionalFormatting>
  <conditionalFormatting sqref="AD32:AE34">
    <cfRule type="expression" dxfId="188" priority="36">
      <formula>$AD$14=""</formula>
    </cfRule>
  </conditionalFormatting>
  <conditionalFormatting sqref="AE34">
    <cfRule type="expression" dxfId="187" priority="35">
      <formula>$C$2&lt;&gt;""</formula>
    </cfRule>
  </conditionalFormatting>
  <conditionalFormatting sqref="O32:O34 Q32:Q34 S32:S34 U32:U34 W32:W34 Y32:Y34 AA32:AA34 AC32:AC34">
    <cfRule type="expression" dxfId="186" priority="34">
      <formula>$C$2&lt;&gt;""</formula>
    </cfRule>
  </conditionalFormatting>
  <conditionalFormatting sqref="X32:Y34">
    <cfRule type="expression" dxfId="185" priority="32">
      <formula>$X$14=""</formula>
    </cfRule>
  </conditionalFormatting>
  <conditionalFormatting sqref="V32:W34">
    <cfRule type="expression" dxfId="184" priority="31">
      <formula>$V$14=""</formula>
    </cfRule>
  </conditionalFormatting>
  <conditionalFormatting sqref="T32:U32 T34:U34 U33">
    <cfRule type="expression" dxfId="183" priority="30">
      <formula>$T$14=""</formula>
    </cfRule>
  </conditionalFormatting>
  <conditionalFormatting sqref="R32:S32 R34:S34 S33">
    <cfRule type="expression" dxfId="182" priority="29">
      <formula>$R$14=""</formula>
    </cfRule>
  </conditionalFormatting>
  <conditionalFormatting sqref="Z32:AA34">
    <cfRule type="expression" dxfId="181" priority="28">
      <formula>$Z$14=""</formula>
    </cfRule>
  </conditionalFormatting>
  <conditionalFormatting sqref="U34 S34 Q34">
    <cfRule type="expression" dxfId="180" priority="27">
      <formula>$C$2&lt;&gt;""</formula>
    </cfRule>
  </conditionalFormatting>
  <conditionalFormatting sqref="AC34 AA34 Y34 W34">
    <cfRule type="expression" dxfId="179" priority="26">
      <formula>$C$2&lt;&gt;""</formula>
    </cfRule>
  </conditionalFormatting>
  <conditionalFormatting sqref="AB32:AC34">
    <cfRule type="expression" dxfId="178" priority="33">
      <formula>$AB$14=""</formula>
    </cfRule>
  </conditionalFormatting>
  <conditionalFormatting sqref="O32:O34">
    <cfRule type="expression" dxfId="177" priority="25">
      <formula>$O$13&lt;0</formula>
    </cfRule>
  </conditionalFormatting>
  <conditionalFormatting sqref="Q32:Q34">
    <cfRule type="expression" dxfId="176" priority="24">
      <formula>$Q$13&lt;0</formula>
    </cfRule>
  </conditionalFormatting>
  <conditionalFormatting sqref="S32:S34">
    <cfRule type="expression" dxfId="175" priority="23">
      <formula>$S$13&lt;0</formula>
    </cfRule>
  </conditionalFormatting>
  <conditionalFormatting sqref="AE36">
    <cfRule type="expression" dxfId="174" priority="22">
      <formula>$C$2&lt;&gt;""</formula>
    </cfRule>
  </conditionalFormatting>
  <conditionalFormatting sqref="AD36:AE36">
    <cfRule type="expression" dxfId="173" priority="21">
      <formula>$AD$14=""</formula>
    </cfRule>
  </conditionalFormatting>
  <conditionalFormatting sqref="O36 Q36 S36 U36 W36 Y36 AA36 AC36">
    <cfRule type="expression" dxfId="172" priority="20">
      <formula>$C$2&lt;&gt;""</formula>
    </cfRule>
  </conditionalFormatting>
  <conditionalFormatting sqref="AB36:AC36">
    <cfRule type="expression" priority="19">
      <formula>$AB$14=""</formula>
    </cfRule>
  </conditionalFormatting>
  <conditionalFormatting sqref="X36:Y36">
    <cfRule type="expression" dxfId="171" priority="17">
      <formula>$X$14=""</formula>
    </cfRule>
  </conditionalFormatting>
  <conditionalFormatting sqref="V36:W36">
    <cfRule type="expression" dxfId="170" priority="16">
      <formula>$V$14=""</formula>
    </cfRule>
  </conditionalFormatting>
  <conditionalFormatting sqref="T36:U36">
    <cfRule type="expression" dxfId="169" priority="15">
      <formula>$T$14=""</formula>
    </cfRule>
  </conditionalFormatting>
  <conditionalFormatting sqref="R36:S36">
    <cfRule type="expression" dxfId="168" priority="14">
      <formula>$R$14=""</formula>
    </cfRule>
  </conditionalFormatting>
  <conditionalFormatting sqref="P36:Q36">
    <cfRule type="expression" dxfId="167" priority="13">
      <formula>$P$14=""</formula>
    </cfRule>
  </conditionalFormatting>
  <conditionalFormatting sqref="Z36:AA36">
    <cfRule type="expression" dxfId="166" priority="12">
      <formula>$Z$14=""</formula>
    </cfRule>
  </conditionalFormatting>
  <conditionalFormatting sqref="AB36:AC36">
    <cfRule type="expression" dxfId="165" priority="18">
      <formula>$AB$14=""</formula>
    </cfRule>
  </conditionalFormatting>
  <conditionalFormatting sqref="O36">
    <cfRule type="expression" dxfId="164" priority="11">
      <formula>$O$13&lt;0</formula>
    </cfRule>
  </conditionalFormatting>
  <conditionalFormatting sqref="Q36">
    <cfRule type="expression" dxfId="163" priority="10">
      <formula>$Q$13&lt;0</formula>
    </cfRule>
  </conditionalFormatting>
  <conditionalFormatting sqref="S36">
    <cfRule type="expression" dxfId="162" priority="9">
      <formula>$S$13&lt;0</formula>
    </cfRule>
  </conditionalFormatting>
  <conditionalFormatting sqref="T47">
    <cfRule type="expression" dxfId="161" priority="8">
      <formula>$T$41=""</formula>
    </cfRule>
  </conditionalFormatting>
  <conditionalFormatting sqref="S47">
    <cfRule type="expression" dxfId="160" priority="7">
      <formula>$S$41=""</formula>
    </cfRule>
  </conditionalFormatting>
  <conditionalFormatting sqref="T50:T52">
    <cfRule type="expression" dxfId="159" priority="6">
      <formula>$T$41=""</formula>
    </cfRule>
  </conditionalFormatting>
  <conditionalFormatting sqref="S50:S52">
    <cfRule type="expression" dxfId="158" priority="5">
      <formula>$S$41=""</formula>
    </cfRule>
  </conditionalFormatting>
  <conditionalFormatting sqref="T55">
    <cfRule type="expression" dxfId="157" priority="4">
      <formula>$T$41=""</formula>
    </cfRule>
  </conditionalFormatting>
  <conditionalFormatting sqref="S55">
    <cfRule type="expression" dxfId="156" priority="3">
      <formula>$S$41=""</formula>
    </cfRule>
  </conditionalFormatting>
  <conditionalFormatting sqref="T57">
    <cfRule type="expression" dxfId="155" priority="2">
      <formula>$T$41=""</formula>
    </cfRule>
  </conditionalFormatting>
  <conditionalFormatting sqref="S57">
    <cfRule type="expression" dxfId="154" priority="1">
      <formula>$S$41=""</formula>
    </cfRule>
  </conditionalFormatting>
  <dataValidations disablePrompts="1" count="1">
    <dataValidation type="list" allowBlank="1" showInputMessage="1" showErrorMessage="1" sqref="C10" xr:uid="{D5DA51F1-6FDE-4E78-BF7E-9B5F7BA62811}">
      <formula1>"3,4,5"</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200" r:id="rId4" name="Button 56">
              <controlPr defaultSize="0" print="0" autoFill="0" autoPict="0" macro="[0]!Macro1">
                <anchor moveWithCells="1" sizeWithCells="1">
                  <from>
                    <xdr:col>3</xdr:col>
                    <xdr:colOff>495300</xdr:colOff>
                    <xdr:row>6</xdr:row>
                    <xdr:rowOff>95250</xdr:rowOff>
                  </from>
                  <to>
                    <xdr:col>8</xdr:col>
                    <xdr:colOff>781050</xdr:colOff>
                    <xdr:row>10</xdr:row>
                    <xdr:rowOff>171450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87" id="{D5664758-DECB-48F7-8593-C4609B132161}">
            <xm:f>'Dati riepilogativi'!$B$2="Capo III"</xm:f>
            <x14:dxf>
              <fill>
                <patternFill>
                  <bgColor theme="1"/>
                </patternFill>
              </fill>
            </x14:dxf>
          </x14:cfRule>
          <xm:sqref>EU7:EZ14</xm:sqref>
        </x14:conditionalFormatting>
        <x14:conditionalFormatting xmlns:xm="http://schemas.microsoft.com/office/excel/2006/main">
          <x14:cfRule type="expression" priority="1086" id="{582E8BA9-E9F6-43F0-B3B8-CF3860058EA6}">
            <xm:f>'Dati riepilogativi'!$B$2="Capo II"</xm:f>
            <x14:dxf>
              <fill>
                <patternFill>
                  <bgColor theme="1"/>
                </patternFill>
              </fill>
            </x14:dxf>
          </x14:cfRule>
          <xm:sqref>EU15:EZ22</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D5D3D-EC80-4530-8C03-AC1DDC1FC33D}">
  <sheetPr codeName="Foglio15"/>
  <dimension ref="A1:O348"/>
  <sheetViews>
    <sheetView topLeftCell="B43" zoomScale="175" zoomScaleNormal="175" workbookViewId="0">
      <selection activeCell="F51" sqref="F51"/>
    </sheetView>
  </sheetViews>
  <sheetFormatPr defaultRowHeight="14.5" x14ac:dyDescent="0.35"/>
  <cols>
    <col min="1" max="1" width="31.453125" customWidth="1"/>
    <col min="2" max="2" width="12.81640625" customWidth="1"/>
    <col min="4" max="4" width="17.1796875" customWidth="1"/>
    <col min="5" max="5" width="15.81640625" customWidth="1"/>
    <col min="6" max="6" width="16.7265625" customWidth="1"/>
    <col min="7" max="7" width="13" customWidth="1"/>
    <col min="8" max="8" width="12.81640625" style="572" customWidth="1"/>
    <col min="9" max="9" width="12" customWidth="1"/>
    <col min="10" max="10" width="12.1796875" customWidth="1"/>
  </cols>
  <sheetData>
    <row r="1" spans="1:15" ht="20" x14ac:dyDescent="0.35">
      <c r="A1" s="361"/>
      <c r="B1" s="362"/>
      <c r="C1" s="1698" t="s">
        <v>420</v>
      </c>
      <c r="D1" s="1699"/>
      <c r="E1" s="363">
        <f ca="1">IF((G7)&gt;200000,"Supera", G7)</f>
        <v>0</v>
      </c>
      <c r="F1" s="362"/>
      <c r="G1" s="364"/>
      <c r="H1" s="365"/>
      <c r="I1" s="366"/>
      <c r="J1" s="367"/>
      <c r="K1" s="367"/>
      <c r="L1" s="367"/>
      <c r="M1" s="367"/>
      <c r="N1" s="367"/>
      <c r="O1" s="367"/>
    </row>
    <row r="2" spans="1:15" ht="25.5" customHeight="1" thickBot="1" x14ac:dyDescent="0.4">
      <c r="A2" s="368" t="s">
        <v>421</v>
      </c>
      <c r="B2" s="369"/>
      <c r="C2" s="369"/>
      <c r="D2" s="369"/>
      <c r="E2" s="362"/>
      <c r="F2" s="590"/>
      <c r="G2" t="s">
        <v>422</v>
      </c>
      <c r="H2" s="365"/>
      <c r="I2" s="1700" t="s">
        <v>423</v>
      </c>
      <c r="J2" s="1700"/>
      <c r="K2" s="1700"/>
      <c r="L2" s="370"/>
      <c r="M2" s="1701" t="s">
        <v>424</v>
      </c>
      <c r="N2" s="1701"/>
      <c r="O2" s="1701"/>
    </row>
    <row r="3" spans="1:15" ht="25.5" customHeight="1" x14ac:dyDescent="0.35">
      <c r="A3" s="371" t="s">
        <v>425</v>
      </c>
      <c r="B3" s="372" t="s">
        <v>426</v>
      </c>
      <c r="C3" s="373" t="s">
        <v>427</v>
      </c>
      <c r="D3" s="374" t="s">
        <v>428</v>
      </c>
      <c r="E3" s="375" t="s">
        <v>429</v>
      </c>
      <c r="F3" s="376">
        <f ca="1">+'Input RNA'!B9</f>
        <v>0</v>
      </c>
      <c r="G3" s="362"/>
      <c r="H3" s="365"/>
      <c r="I3" s="377">
        <v>0.16</v>
      </c>
      <c r="J3" s="367" t="s">
        <v>430</v>
      </c>
      <c r="K3" s="378">
        <v>0.8</v>
      </c>
      <c r="L3" s="370"/>
      <c r="M3" s="1701"/>
      <c r="N3" s="1701"/>
      <c r="O3" s="1701"/>
    </row>
    <row r="4" spans="1:15" ht="25.5" customHeight="1" x14ac:dyDescent="0.35">
      <c r="A4" s="379" t="s">
        <v>431</v>
      </c>
      <c r="B4" s="372" t="s">
        <v>426</v>
      </c>
      <c r="C4" s="369"/>
      <c r="D4" s="380">
        <v>0</v>
      </c>
      <c r="E4" s="381" t="s">
        <v>432</v>
      </c>
      <c r="F4" s="382">
        <f>+'Input RNA'!B8</f>
        <v>0</v>
      </c>
      <c r="G4" s="362"/>
      <c r="H4" s="365"/>
      <c r="I4" s="377">
        <v>0.14000000000000001</v>
      </c>
      <c r="J4" s="367" t="s">
        <v>430</v>
      </c>
      <c r="K4" s="378">
        <v>0.7</v>
      </c>
      <c r="L4" s="370"/>
      <c r="M4" s="1701"/>
      <c r="N4" s="1701"/>
      <c r="O4" s="1701"/>
    </row>
    <row r="5" spans="1:15" ht="25.5" customHeight="1" x14ac:dyDescent="0.35">
      <c r="A5" s="383" t="s">
        <v>433</v>
      </c>
      <c r="B5" s="372" t="s">
        <v>426</v>
      </c>
      <c r="C5" s="369"/>
      <c r="D5" s="384">
        <v>0.8</v>
      </c>
      <c r="E5" s="385" t="s">
        <v>434</v>
      </c>
      <c r="F5" s="386"/>
      <c r="G5" s="387"/>
      <c r="H5" s="365"/>
      <c r="I5" s="378">
        <v>0</v>
      </c>
      <c r="J5" s="367" t="s">
        <v>435</v>
      </c>
      <c r="K5" s="370">
        <v>100</v>
      </c>
      <c r="L5" s="370"/>
      <c r="M5" s="1701"/>
      <c r="N5" s="1701"/>
      <c r="O5" s="1701"/>
    </row>
    <row r="6" spans="1:15" ht="25.5" customHeight="1" thickBot="1" x14ac:dyDescent="0.4">
      <c r="A6" s="383" t="s">
        <v>436</v>
      </c>
      <c r="B6" s="372" t="s">
        <v>426</v>
      </c>
      <c r="C6" s="369"/>
      <c r="D6" s="380">
        <v>0</v>
      </c>
      <c r="E6" s="385" t="s">
        <v>434</v>
      </c>
      <c r="F6" s="386">
        <f ca="1">FLOOR($J$27*D6,1)</f>
        <v>0</v>
      </c>
      <c r="G6" s="387"/>
      <c r="H6" s="365"/>
      <c r="I6" s="362"/>
      <c r="J6" s="362"/>
      <c r="K6" s="369"/>
      <c r="L6" s="369"/>
      <c r="M6" s="362"/>
      <c r="N6" s="362"/>
      <c r="O6" s="362"/>
    </row>
    <row r="7" spans="1:15" ht="25.5" customHeight="1" thickTop="1" thickBot="1" x14ac:dyDescent="0.4">
      <c r="A7" s="383" t="s">
        <v>437</v>
      </c>
      <c r="B7" s="372" t="s">
        <v>426</v>
      </c>
      <c r="C7" s="369"/>
      <c r="D7" s="388">
        <f ca="1">+D20</f>
        <v>8.0999999999999996E-3</v>
      </c>
      <c r="E7" s="385" t="s">
        <v>434</v>
      </c>
      <c r="F7" s="386"/>
      <c r="G7" s="389">
        <f ca="1">SUM(F5:F7)+F3</f>
        <v>0</v>
      </c>
      <c r="H7" s="365"/>
      <c r="I7" s="362"/>
      <c r="J7" s="362"/>
      <c r="K7" s="369"/>
      <c r="L7" s="369"/>
      <c r="M7" s="362"/>
      <c r="N7" s="362"/>
      <c r="O7" s="362"/>
    </row>
    <row r="8" spans="1:15" ht="25.5" customHeight="1" thickTop="1" thickBot="1" x14ac:dyDescent="0.4">
      <c r="A8" s="383" t="s">
        <v>438</v>
      </c>
      <c r="B8" s="372" t="s">
        <v>439</v>
      </c>
      <c r="C8" s="369"/>
      <c r="D8" s="390">
        <f>+'Input RNA'!B7</f>
        <v>0</v>
      </c>
      <c r="E8" s="384">
        <v>0.8</v>
      </c>
      <c r="F8" s="1702"/>
      <c r="G8" s="1702"/>
      <c r="H8" s="365"/>
      <c r="I8" s="362"/>
      <c r="J8" s="362"/>
      <c r="K8" s="369"/>
      <c r="L8" s="369"/>
      <c r="M8" s="362"/>
      <c r="N8" s="362"/>
      <c r="O8" s="362"/>
    </row>
    <row r="9" spans="1:15" ht="25.5" customHeight="1" thickBot="1" x14ac:dyDescent="0.4">
      <c r="A9" s="391" t="s">
        <v>440</v>
      </c>
      <c r="B9" s="603" t="s">
        <v>441</v>
      </c>
      <c r="C9" s="369"/>
      <c r="D9" s="392">
        <v>0</v>
      </c>
      <c r="E9" s="393"/>
      <c r="F9" s="394"/>
      <c r="G9" s="395" t="s">
        <v>442</v>
      </c>
      <c r="H9" s="396" t="s">
        <v>428</v>
      </c>
      <c r="I9" s="397">
        <v>7500</v>
      </c>
      <c r="J9" s="398"/>
      <c r="K9" s="399"/>
      <c r="L9" s="399"/>
      <c r="M9" s="362"/>
      <c r="N9" s="362"/>
      <c r="O9" s="362"/>
    </row>
    <row r="10" spans="1:15" ht="25.5" customHeight="1" x14ac:dyDescent="0.35">
      <c r="A10" s="383" t="s">
        <v>443</v>
      </c>
      <c r="B10" s="372" t="s">
        <v>441</v>
      </c>
      <c r="C10" s="369"/>
      <c r="D10" s="392">
        <v>0</v>
      </c>
      <c r="E10" s="394"/>
      <c r="F10" s="394"/>
      <c r="G10" s="1703" t="s">
        <v>444</v>
      </c>
      <c r="H10" s="1704"/>
      <c r="I10" s="1705"/>
      <c r="J10" s="400" t="s">
        <v>445</v>
      </c>
      <c r="K10" s="399"/>
      <c r="L10" s="399"/>
      <c r="M10" s="362"/>
      <c r="N10" s="362"/>
      <c r="O10" s="362"/>
    </row>
    <row r="11" spans="1:15" ht="25.5" customHeight="1" x14ac:dyDescent="0.35">
      <c r="A11" s="383" t="s">
        <v>446</v>
      </c>
      <c r="B11" s="372" t="s">
        <v>447</v>
      </c>
      <c r="C11" s="369"/>
      <c r="D11" s="392">
        <v>0</v>
      </c>
      <c r="E11" s="401"/>
      <c r="F11" s="394"/>
      <c r="G11" s="402" t="s">
        <v>448</v>
      </c>
      <c r="H11" s="403" t="str">
        <f>+D3</f>
        <v>SI</v>
      </c>
      <c r="I11" s="404">
        <f>+F4</f>
        <v>0</v>
      </c>
      <c r="J11" s="405"/>
      <c r="K11" s="399"/>
      <c r="L11" s="399"/>
      <c r="M11" s="362"/>
      <c r="N11" s="362"/>
      <c r="O11" s="362"/>
    </row>
    <row r="12" spans="1:15" ht="25.5" customHeight="1" x14ac:dyDescent="0.35">
      <c r="A12" s="391" t="s">
        <v>449</v>
      </c>
      <c r="B12" s="372" t="s">
        <v>441</v>
      </c>
      <c r="C12" s="369"/>
      <c r="D12" s="392">
        <v>0</v>
      </c>
      <c r="E12" s="406"/>
      <c r="F12" s="394"/>
      <c r="G12" s="407" t="s">
        <v>450</v>
      </c>
      <c r="H12" s="408" t="e">
        <f ca="1">+D8/J27</f>
        <v>#DIV/0!</v>
      </c>
      <c r="I12" s="404">
        <f>+D8</f>
        <v>0</v>
      </c>
      <c r="J12" s="405"/>
      <c r="K12" s="399"/>
      <c r="L12" s="399"/>
      <c r="M12" s="362"/>
      <c r="N12" s="362"/>
      <c r="O12" s="362"/>
    </row>
    <row r="13" spans="1:15" ht="25.5" customHeight="1" thickBot="1" x14ac:dyDescent="0.4">
      <c r="A13" s="383" t="s">
        <v>451</v>
      </c>
      <c r="B13" s="372" t="s">
        <v>441</v>
      </c>
      <c r="C13" s="369"/>
      <c r="D13" s="392">
        <v>0</v>
      </c>
      <c r="E13" s="409"/>
      <c r="F13" s="394"/>
      <c r="G13" s="410"/>
      <c r="H13" s="411"/>
      <c r="I13" s="412">
        <f>SUM(I11:I12)</f>
        <v>0</v>
      </c>
      <c r="J13" s="413"/>
      <c r="K13" s="399"/>
      <c r="L13" s="399"/>
      <c r="M13" s="362"/>
      <c r="N13" s="362"/>
      <c r="O13" s="362"/>
    </row>
    <row r="14" spans="1:15" ht="25.5" customHeight="1" thickBot="1" x14ac:dyDescent="0.4">
      <c r="A14" s="383" t="s">
        <v>452</v>
      </c>
      <c r="B14" s="372" t="s">
        <v>447</v>
      </c>
      <c r="C14" s="369"/>
      <c r="D14" s="392">
        <v>0</v>
      </c>
      <c r="E14" s="401"/>
      <c r="F14" s="394"/>
      <c r="G14" s="394"/>
      <c r="H14" s="414"/>
      <c r="I14" s="413"/>
      <c r="J14" s="413"/>
      <c r="K14" s="399"/>
      <c r="L14" s="399"/>
      <c r="M14" s="415"/>
      <c r="N14" s="362"/>
      <c r="O14" s="362"/>
    </row>
    <row r="15" spans="1:15" ht="25.5" customHeight="1" thickBot="1" x14ac:dyDescent="0.4">
      <c r="A15" s="391" t="s">
        <v>453</v>
      </c>
      <c r="B15" s="372" t="s">
        <v>441</v>
      </c>
      <c r="C15" s="369"/>
      <c r="D15" s="392">
        <v>10</v>
      </c>
      <c r="E15" s="401"/>
      <c r="F15" s="394" t="s">
        <v>454</v>
      </c>
      <c r="G15" s="416">
        <f>+'Input RNA'!B10</f>
        <v>-1.9E-3</v>
      </c>
      <c r="H15" s="414"/>
      <c r="I15" s="417"/>
      <c r="J15" s="394"/>
      <c r="K15" s="1690"/>
      <c r="L15" s="1690"/>
      <c r="M15" s="1690"/>
      <c r="N15" s="399"/>
      <c r="O15" s="418"/>
    </row>
    <row r="16" spans="1:15" ht="25.5" customHeight="1" x14ac:dyDescent="0.35">
      <c r="A16" s="383" t="s">
        <v>455</v>
      </c>
      <c r="B16" s="372" t="s">
        <v>441</v>
      </c>
      <c r="C16" s="369"/>
      <c r="D16" s="392">
        <v>2</v>
      </c>
      <c r="E16" s="409"/>
      <c r="F16" s="394" t="s">
        <v>456</v>
      </c>
      <c r="G16" s="419">
        <f ca="1">IF('Dati riepilogativi'!B2="capo II",4%,IF(GBER!D21=0,0.01,GBER!D21))</f>
        <v>0.01</v>
      </c>
      <c r="H16" s="368">
        <f ca="1">(G16*10000)</f>
        <v>100</v>
      </c>
      <c r="I16" s="1237" t="s">
        <v>457</v>
      </c>
      <c r="J16" s="362"/>
      <c r="K16" s="1690"/>
      <c r="L16" s="1690"/>
      <c r="M16" s="1690"/>
      <c r="N16" s="421"/>
      <c r="O16" s="418"/>
    </row>
    <row r="17" spans="1:15" ht="25.5" customHeight="1" x14ac:dyDescent="0.35">
      <c r="A17" s="383" t="s">
        <v>458</v>
      </c>
      <c r="B17" s="372" t="s">
        <v>447</v>
      </c>
      <c r="C17" s="369"/>
      <c r="D17" s="392">
        <v>2</v>
      </c>
      <c r="E17" s="393"/>
      <c r="F17" s="393"/>
      <c r="G17" s="393"/>
      <c r="H17" s="414"/>
      <c r="I17" s="420"/>
      <c r="J17" s="362"/>
      <c r="K17" s="1690"/>
      <c r="L17" s="1690"/>
      <c r="M17" s="1690"/>
      <c r="N17" s="422"/>
      <c r="O17" s="418"/>
    </row>
    <row r="18" spans="1:15" ht="25.5" customHeight="1" x14ac:dyDescent="0.35">
      <c r="A18" s="383" t="s">
        <v>459</v>
      </c>
      <c r="B18" s="372" t="s">
        <v>426</v>
      </c>
      <c r="C18" s="369"/>
      <c r="D18" s="423">
        <f>IF('Dati riepilogativi'!B2="capo II",100%,20%)</f>
        <v>0.2</v>
      </c>
      <c r="E18" s="399"/>
      <c r="F18" s="399"/>
      <c r="G18" s="362"/>
      <c r="H18" s="365"/>
      <c r="I18" s="362"/>
      <c r="J18" s="362"/>
      <c r="K18" s="369"/>
      <c r="L18" s="369"/>
      <c r="M18" s="362"/>
      <c r="N18" s="362"/>
      <c r="O18" s="362"/>
    </row>
    <row r="19" spans="1:15" ht="25.5" customHeight="1" x14ac:dyDescent="0.35">
      <c r="A19" s="383" t="s">
        <v>460</v>
      </c>
      <c r="B19" s="372" t="s">
        <v>426</v>
      </c>
      <c r="C19" s="369"/>
      <c r="D19" s="423">
        <f>+G15+1.00000000001%</f>
        <v>8.1000000000999994E-3</v>
      </c>
      <c r="E19" s="399"/>
      <c r="F19" s="399"/>
      <c r="G19" s="362"/>
      <c r="H19" s="365"/>
      <c r="I19" s="362"/>
      <c r="J19" s="362"/>
      <c r="K19" s="369"/>
      <c r="L19" s="369"/>
      <c r="M19" s="362"/>
      <c r="N19" s="362"/>
      <c r="O19" s="362"/>
    </row>
    <row r="20" spans="1:15" ht="25.5" customHeight="1" x14ac:dyDescent="0.35">
      <c r="A20" s="383" t="s">
        <v>461</v>
      </c>
      <c r="B20" s="372" t="s">
        <v>426</v>
      </c>
      <c r="C20" s="369"/>
      <c r="D20" s="423">
        <f ca="1">+G15+G16</f>
        <v>8.0999999999999996E-3</v>
      </c>
      <c r="E20" s="399"/>
      <c r="F20" s="1691" t="s">
        <v>462</v>
      </c>
      <c r="G20" s="1691"/>
      <c r="H20" s="365"/>
      <c r="I20" s="362"/>
      <c r="J20" s="362"/>
      <c r="K20" s="399"/>
      <c r="L20" s="399"/>
      <c r="M20" s="362"/>
      <c r="N20" s="362"/>
      <c r="O20" s="362"/>
    </row>
    <row r="21" spans="1:15" ht="25.5" customHeight="1" x14ac:dyDescent="0.35">
      <c r="A21" s="383" t="s">
        <v>463</v>
      </c>
      <c r="B21" s="372" t="s">
        <v>426</v>
      </c>
      <c r="C21" s="369"/>
      <c r="D21" s="423">
        <v>0</v>
      </c>
      <c r="E21" s="399"/>
      <c r="F21" s="1692"/>
      <c r="G21" s="1693"/>
      <c r="H21" s="365"/>
      <c r="I21" s="362"/>
      <c r="J21" s="362"/>
      <c r="K21" s="399"/>
      <c r="L21" s="399"/>
      <c r="M21" s="362"/>
      <c r="N21" s="362"/>
      <c r="O21" s="362"/>
    </row>
    <row r="22" spans="1:15" ht="25.5" customHeight="1" x14ac:dyDescent="0.35">
      <c r="A22" s="383" t="s">
        <v>464</v>
      </c>
      <c r="B22" s="372" t="s">
        <v>426</v>
      </c>
      <c r="C22" s="369"/>
      <c r="D22" s="423">
        <v>0</v>
      </c>
      <c r="E22" s="424"/>
      <c r="F22" s="399"/>
      <c r="G22" s="362"/>
      <c r="H22" s="365"/>
      <c r="I22" s="362"/>
      <c r="J22" s="362"/>
      <c r="K22" s="399"/>
      <c r="L22" s="399"/>
      <c r="M22" s="362"/>
      <c r="N22" s="362"/>
      <c r="O22" s="362"/>
    </row>
    <row r="23" spans="1:15" ht="25.5" customHeight="1" x14ac:dyDescent="0.35">
      <c r="A23" s="383" t="s">
        <v>465</v>
      </c>
      <c r="B23" s="425" t="s">
        <v>466</v>
      </c>
      <c r="C23" s="369"/>
      <c r="D23" s="392" t="s">
        <v>467</v>
      </c>
      <c r="E23" s="393"/>
      <c r="F23" s="393"/>
      <c r="G23" s="413"/>
      <c r="H23" s="414"/>
      <c r="I23" s="413"/>
      <c r="J23" s="413"/>
      <c r="K23" s="399"/>
      <c r="L23" s="399"/>
      <c r="M23" s="362"/>
      <c r="N23" s="362"/>
      <c r="O23" s="362"/>
    </row>
    <row r="24" spans="1:15" ht="25.5" customHeight="1" thickBot="1" x14ac:dyDescent="0.4">
      <c r="A24" s="426" t="s">
        <v>468</v>
      </c>
      <c r="B24" s="425" t="s">
        <v>466</v>
      </c>
      <c r="C24" s="369"/>
      <c r="D24" s="427" t="s">
        <v>467</v>
      </c>
      <c r="E24" s="393"/>
      <c r="F24" s="393"/>
      <c r="G24" s="413"/>
      <c r="H24" s="414"/>
      <c r="I24" s="413"/>
      <c r="J24" s="413"/>
      <c r="K24" s="399"/>
      <c r="L24" s="399"/>
      <c r="M24" s="362"/>
      <c r="N24" s="362"/>
      <c r="O24" s="362"/>
    </row>
    <row r="25" spans="1:15" x14ac:dyDescent="0.35">
      <c r="A25" s="362"/>
      <c r="B25" s="362"/>
      <c r="C25" s="362"/>
      <c r="D25" s="362"/>
      <c r="E25" s="362"/>
      <c r="F25" s="362"/>
      <c r="G25" s="362"/>
      <c r="H25" s="365"/>
      <c r="I25" s="362"/>
      <c r="J25" s="362"/>
      <c r="K25" s="399"/>
      <c r="L25" s="399"/>
      <c r="M25" s="362"/>
      <c r="N25" s="362"/>
      <c r="O25" s="362"/>
    </row>
    <row r="26" spans="1:15" ht="15" thickBot="1" x14ac:dyDescent="0.4">
      <c r="A26" s="362"/>
      <c r="B26" s="362"/>
      <c r="C26" s="428" t="s">
        <v>469</v>
      </c>
      <c r="D26" s="429">
        <v>1</v>
      </c>
      <c r="E26" s="429">
        <v>2</v>
      </c>
      <c r="F26" s="430"/>
      <c r="G26" s="430"/>
      <c r="H26" s="430"/>
      <c r="I26" s="430"/>
      <c r="J26" s="362"/>
      <c r="K26" s="362"/>
      <c r="L26" s="362"/>
      <c r="M26" s="362"/>
      <c r="N26" s="362"/>
      <c r="O26" s="362"/>
    </row>
    <row r="27" spans="1:15" ht="15" thickBot="1" x14ac:dyDescent="0.4">
      <c r="A27" s="431" t="s">
        <v>470</v>
      </c>
      <c r="B27" s="432" t="s">
        <v>439</v>
      </c>
      <c r="C27" s="369"/>
      <c r="D27" s="433">
        <f ca="1">+'Input RNA'!C4</f>
        <v>0</v>
      </c>
      <c r="E27" s="433">
        <f ca="1">+'Input RNA'!D4</f>
        <v>0</v>
      </c>
      <c r="F27" s="434">
        <v>0</v>
      </c>
      <c r="G27" s="434">
        <v>0</v>
      </c>
      <c r="H27" s="435"/>
      <c r="I27" s="434"/>
      <c r="J27" s="436">
        <f ca="1">SUM(D27:I27)</f>
        <v>0</v>
      </c>
      <c r="K27" s="437"/>
      <c r="L27" s="362"/>
      <c r="M27" s="362"/>
      <c r="N27" s="362"/>
      <c r="O27" s="362"/>
    </row>
    <row r="28" spans="1:15" x14ac:dyDescent="0.35">
      <c r="A28" s="431" t="s">
        <v>471</v>
      </c>
      <c r="B28" s="432" t="s">
        <v>439</v>
      </c>
      <c r="C28" s="369"/>
      <c r="D28" s="438"/>
      <c r="E28" s="438"/>
      <c r="F28" s="438"/>
      <c r="G28" s="438"/>
      <c r="H28" s="439"/>
      <c r="I28" s="438"/>
      <c r="J28" s="440">
        <f>SUM(D28:I28)</f>
        <v>0</v>
      </c>
      <c r="K28" s="441" t="e">
        <f ca="1">L28/D27</f>
        <v>#DIV/0!</v>
      </c>
      <c r="L28" s="442"/>
      <c r="M28" s="362"/>
      <c r="N28" s="362"/>
      <c r="O28" s="362"/>
    </row>
    <row r="29" spans="1:15" ht="15" thickBot="1" x14ac:dyDescent="0.4">
      <c r="A29" s="443" t="s">
        <v>472</v>
      </c>
      <c r="B29" s="444"/>
      <c r="C29" s="444"/>
      <c r="D29" s="445">
        <f t="shared" ref="D29:I29" ca="1" si="0">D27*(1+$D19)^-(D26-$D26)</f>
        <v>0</v>
      </c>
      <c r="E29" s="445">
        <f t="shared" ca="1" si="0"/>
        <v>0</v>
      </c>
      <c r="F29" s="445">
        <f t="shared" si="0"/>
        <v>0</v>
      </c>
      <c r="G29" s="445">
        <f t="shared" si="0"/>
        <v>0</v>
      </c>
      <c r="H29" s="446">
        <f t="shared" si="0"/>
        <v>0</v>
      </c>
      <c r="I29" s="445">
        <f t="shared" si="0"/>
        <v>0</v>
      </c>
      <c r="J29" s="447">
        <f ca="1">SUM(D29:I29)</f>
        <v>0</v>
      </c>
      <c r="K29" s="362"/>
      <c r="L29" s="415"/>
      <c r="M29" s="362"/>
      <c r="N29" s="362"/>
      <c r="O29" s="362"/>
    </row>
    <row r="30" spans="1:15" ht="15" thickBot="1" x14ac:dyDescent="0.4">
      <c r="A30" s="362"/>
      <c r="B30" s="362"/>
      <c r="C30" s="362"/>
      <c r="D30" s="362"/>
      <c r="E30" s="362"/>
      <c r="F30" s="362"/>
      <c r="G30" s="362"/>
      <c r="H30" s="365"/>
      <c r="I30" s="362"/>
      <c r="J30" s="362"/>
      <c r="K30" s="369"/>
      <c r="L30" s="369"/>
      <c r="M30" s="362"/>
      <c r="N30" s="362"/>
      <c r="O30" s="362"/>
    </row>
    <row r="31" spans="1:15" x14ac:dyDescent="0.35">
      <c r="A31" s="448" t="s">
        <v>473</v>
      </c>
      <c r="B31" s="449"/>
      <c r="C31" s="449"/>
      <c r="D31" s="450"/>
      <c r="E31" s="450"/>
      <c r="F31" s="451"/>
      <c r="G31" s="449"/>
      <c r="H31" s="452"/>
      <c r="I31" s="449"/>
      <c r="J31" s="453"/>
      <c r="K31" s="369"/>
      <c r="L31" s="369"/>
      <c r="M31" s="362"/>
      <c r="N31" s="362"/>
      <c r="O31" s="362"/>
    </row>
    <row r="32" spans="1:15" x14ac:dyDescent="0.35">
      <c r="A32" s="454" t="s">
        <v>474</v>
      </c>
      <c r="B32" s="455"/>
      <c r="C32" s="456"/>
      <c r="D32" s="457" t="e">
        <f ca="1">(($F4/($J27-$J28))*(D27-D28))</f>
        <v>#DIV/0!</v>
      </c>
      <c r="E32" s="457" t="e">
        <f ca="1">(($F4/($J27-$J28))*(E27-E28))</f>
        <v>#DIV/0!</v>
      </c>
      <c r="F32" s="457" t="e">
        <f t="shared" ref="F32:I32" ca="1" si="1">((+$F3/$J27)*F27)+(($F4/($J27-$J28))*(F27-F28))</f>
        <v>#DIV/0!</v>
      </c>
      <c r="G32" s="457" t="e">
        <f t="shared" ca="1" si="1"/>
        <v>#DIV/0!</v>
      </c>
      <c r="H32" s="458" t="e">
        <f t="shared" ca="1" si="1"/>
        <v>#DIV/0!</v>
      </c>
      <c r="I32" s="457" t="e">
        <f t="shared" ca="1" si="1"/>
        <v>#DIV/0!</v>
      </c>
      <c r="J32" s="459"/>
      <c r="K32" s="460"/>
      <c r="L32" s="399"/>
      <c r="M32" s="362"/>
      <c r="N32" s="362"/>
      <c r="O32" s="362"/>
    </row>
    <row r="33" spans="1:15" x14ac:dyDescent="0.35">
      <c r="A33" s="461" t="s">
        <v>475</v>
      </c>
      <c r="B33" s="462"/>
      <c r="C33" s="369"/>
      <c r="D33" s="442" t="e">
        <f t="shared" ref="D33:I33" ca="1" si="2">+$D22*D32</f>
        <v>#DIV/0!</v>
      </c>
      <c r="E33" s="442" t="e">
        <f t="shared" ca="1" si="2"/>
        <v>#DIV/0!</v>
      </c>
      <c r="F33" s="442" t="e">
        <f t="shared" ca="1" si="2"/>
        <v>#DIV/0!</v>
      </c>
      <c r="G33" s="442" t="e">
        <f t="shared" ca="1" si="2"/>
        <v>#DIV/0!</v>
      </c>
      <c r="H33" s="463" t="e">
        <f t="shared" ca="1" si="2"/>
        <v>#DIV/0!</v>
      </c>
      <c r="I33" s="442" t="e">
        <f t="shared" ca="1" si="2"/>
        <v>#DIV/0!</v>
      </c>
      <c r="J33" s="464" t="e">
        <f t="shared" ref="J33:J40" ca="1" si="3">SUM(D33:I33)</f>
        <v>#DIV/0!</v>
      </c>
      <c r="K33" s="399"/>
      <c r="L33" s="399"/>
      <c r="M33" s="362"/>
      <c r="N33" s="362"/>
      <c r="O33" s="362"/>
    </row>
    <row r="34" spans="1:15" x14ac:dyDescent="0.35">
      <c r="A34" s="461" t="s">
        <v>476</v>
      </c>
      <c r="B34" s="462"/>
      <c r="C34" s="369"/>
      <c r="D34" s="442" t="e">
        <f ca="1">IF(D32=0,$J33,+D32-D33)</f>
        <v>#DIV/0!</v>
      </c>
      <c r="E34" s="442" t="e">
        <f ca="1">IF(E32&lt;&gt;0,E32-E33,IF(SUM(D34:D34)&lt;$J32,$J33,0))</f>
        <v>#DIV/0!</v>
      </c>
      <c r="F34" s="442" t="e">
        <f ca="1">IF(F32&lt;&gt;0,F32-F33,IF(SUM(D34:E34)&lt;$J32,$J33,0))</f>
        <v>#DIV/0!</v>
      </c>
      <c r="G34" s="442" t="e">
        <f ca="1">IF(G32&lt;&gt;0,G32-G33,IF(SUM(D34:F34)&lt;$J32,$J33,0))</f>
        <v>#DIV/0!</v>
      </c>
      <c r="H34" s="463" t="e">
        <f ca="1">IF(H32&lt;&gt;0,H32-H33,IF(SUM(D34:G34)&lt;$J32,$J33,0))</f>
        <v>#DIV/0!</v>
      </c>
      <c r="I34" s="442" t="e">
        <f ca="1">IF(I32&lt;&gt;0,I32-I33,IF(SUM(D34:H34)&lt;$J32,$J33,0))</f>
        <v>#DIV/0!</v>
      </c>
      <c r="J34" s="464" t="e">
        <f ca="1">SUM(D34:I34)</f>
        <v>#DIV/0!</v>
      </c>
      <c r="K34" s="399"/>
      <c r="L34" s="399"/>
      <c r="M34" s="362"/>
      <c r="N34" s="362"/>
      <c r="O34" s="362"/>
    </row>
    <row r="35" spans="1:15" x14ac:dyDescent="0.35">
      <c r="A35" s="465" t="s">
        <v>477</v>
      </c>
      <c r="B35" s="462"/>
      <c r="C35" s="369"/>
      <c r="D35" s="442" t="e">
        <f ca="1">$F5/$J27*D27</f>
        <v>#DIV/0!</v>
      </c>
      <c r="E35" s="442" t="e">
        <f ca="1">$F5/$J27*E27</f>
        <v>#DIV/0!</v>
      </c>
      <c r="F35" s="442" t="e">
        <f ca="1">$F5/$J27*F27</f>
        <v>#DIV/0!</v>
      </c>
      <c r="G35" s="442" t="e">
        <f ca="1">$F5/$J27*G27</f>
        <v>#DIV/0!</v>
      </c>
      <c r="H35" s="463" t="e">
        <f ca="1">$F5/$J27*H27</f>
        <v>#DIV/0!</v>
      </c>
      <c r="I35" s="442" t="e">
        <f ca="1">$F$5/$J$27*I27</f>
        <v>#DIV/0!</v>
      </c>
      <c r="J35" s="464" t="e">
        <f t="shared" ca="1" si="3"/>
        <v>#DIV/0!</v>
      </c>
      <c r="K35" s="437"/>
      <c r="L35" s="369"/>
      <c r="M35" s="369"/>
      <c r="N35" s="362"/>
      <c r="O35" s="362"/>
    </row>
    <row r="36" spans="1:15" x14ac:dyDescent="0.35">
      <c r="A36" s="466" t="s">
        <v>478</v>
      </c>
      <c r="B36" s="462"/>
      <c r="C36" s="369"/>
      <c r="D36" s="442" t="e">
        <f ca="1">$F6/$J27*D27</f>
        <v>#DIV/0!</v>
      </c>
      <c r="E36" s="442" t="e">
        <f t="shared" ref="E36:I36" ca="1" si="4">$F6/$J27*E27</f>
        <v>#DIV/0!</v>
      </c>
      <c r="F36" s="442" t="e">
        <f t="shared" ca="1" si="4"/>
        <v>#DIV/0!</v>
      </c>
      <c r="G36" s="442" t="e">
        <f t="shared" ca="1" si="4"/>
        <v>#DIV/0!</v>
      </c>
      <c r="H36" s="463" t="e">
        <f t="shared" ca="1" si="4"/>
        <v>#DIV/0!</v>
      </c>
      <c r="I36" s="442" t="e">
        <f t="shared" ca="1" si="4"/>
        <v>#DIV/0!</v>
      </c>
      <c r="J36" s="467" t="e">
        <f t="shared" ca="1" si="3"/>
        <v>#DIV/0!</v>
      </c>
      <c r="K36" s="437"/>
      <c r="L36" s="369"/>
      <c r="M36" s="369"/>
      <c r="N36" s="362"/>
      <c r="O36" s="362"/>
    </row>
    <row r="37" spans="1:15" ht="15" thickBot="1" x14ac:dyDescent="0.4">
      <c r="A37" s="468" t="s">
        <v>479</v>
      </c>
      <c r="B37" s="469"/>
      <c r="C37" s="444"/>
      <c r="D37" s="470">
        <f>'Input RNA'!C7</f>
        <v>0</v>
      </c>
      <c r="E37" s="470">
        <f>'Input RNA'!D7</f>
        <v>0</v>
      </c>
      <c r="F37" s="470">
        <f t="shared" ref="F37:I37" si="5">+F27*$E$8</f>
        <v>0</v>
      </c>
      <c r="G37" s="470">
        <f t="shared" si="5"/>
        <v>0</v>
      </c>
      <c r="H37" s="471">
        <f t="shared" si="5"/>
        <v>0</v>
      </c>
      <c r="I37" s="470">
        <f t="shared" si="5"/>
        <v>0</v>
      </c>
      <c r="J37" s="447">
        <f t="shared" si="3"/>
        <v>0</v>
      </c>
      <c r="K37" s="437" t="str">
        <f>IF(J37&lt;&gt;D8,"errore","")</f>
        <v/>
      </c>
      <c r="L37" s="369"/>
      <c r="M37" s="369"/>
      <c r="N37" s="362"/>
      <c r="O37" s="362"/>
    </row>
    <row r="38" spans="1:15" x14ac:dyDescent="0.35">
      <c r="A38" s="472" t="s">
        <v>480</v>
      </c>
      <c r="B38" s="473"/>
      <c r="C38" s="473"/>
      <c r="D38" s="474" t="e">
        <f ca="1">D34*(1+$D19)^-(D26-$D26)</f>
        <v>#DIV/0!</v>
      </c>
      <c r="E38" s="474" t="e">
        <f ca="1">E34*(1+$D19)^-(E26-$D26)</f>
        <v>#DIV/0!</v>
      </c>
      <c r="F38" s="474" t="e">
        <f t="shared" ref="F38:I38" ca="1" si="6">F34*(1+$D19)^-(F26-$D26)</f>
        <v>#DIV/0!</v>
      </c>
      <c r="G38" s="474" t="e">
        <f t="shared" ca="1" si="6"/>
        <v>#DIV/0!</v>
      </c>
      <c r="H38" s="475" t="e">
        <f t="shared" ca="1" si="6"/>
        <v>#DIV/0!</v>
      </c>
      <c r="I38" s="474" t="e">
        <f t="shared" ca="1" si="6"/>
        <v>#DIV/0!</v>
      </c>
      <c r="J38" s="476" t="e">
        <f ca="1">SUM(D38:I38)</f>
        <v>#DIV/0!</v>
      </c>
      <c r="K38" s="362"/>
      <c r="L38" s="369"/>
      <c r="M38" s="369"/>
      <c r="N38" s="362"/>
      <c r="O38" s="362"/>
    </row>
    <row r="39" spans="1:15" x14ac:dyDescent="0.35">
      <c r="A39" s="477" t="s">
        <v>481</v>
      </c>
      <c r="B39" s="369"/>
      <c r="C39" s="369"/>
      <c r="D39" s="442" t="e">
        <f ca="1">D27*$D47</f>
        <v>#DIV/0!</v>
      </c>
      <c r="E39" s="442" t="e">
        <f t="shared" ref="E39:I39" ca="1" si="7">E27*$D47</f>
        <v>#DIV/0!</v>
      </c>
      <c r="F39" s="442" t="e">
        <f t="shared" ca="1" si="7"/>
        <v>#DIV/0!</v>
      </c>
      <c r="G39" s="442" t="e">
        <f t="shared" ca="1" si="7"/>
        <v>#DIV/0!</v>
      </c>
      <c r="H39" s="463" t="e">
        <f t="shared" ca="1" si="7"/>
        <v>#DIV/0!</v>
      </c>
      <c r="I39" s="442" t="e">
        <f t="shared" ca="1" si="7"/>
        <v>#DIV/0!</v>
      </c>
      <c r="J39" s="442" t="e">
        <f t="shared" ca="1" si="3"/>
        <v>#DIV/0!</v>
      </c>
      <c r="K39" s="362"/>
      <c r="L39" s="369"/>
      <c r="M39" s="369"/>
      <c r="N39" s="362"/>
      <c r="O39" s="362"/>
    </row>
    <row r="40" spans="1:15" x14ac:dyDescent="0.35">
      <c r="A40" s="477" t="s">
        <v>482</v>
      </c>
      <c r="B40" s="369"/>
      <c r="C40" s="369"/>
      <c r="D40" s="442" t="e">
        <f t="shared" ref="D40:I40" ca="1" si="8">D39*(1+$D19)^-(D26-$D26)</f>
        <v>#DIV/0!</v>
      </c>
      <c r="E40" s="442" t="e">
        <f t="shared" ca="1" si="8"/>
        <v>#DIV/0!</v>
      </c>
      <c r="F40" s="442" t="e">
        <f t="shared" ca="1" si="8"/>
        <v>#DIV/0!</v>
      </c>
      <c r="G40" s="442" t="e">
        <f t="shared" ca="1" si="8"/>
        <v>#DIV/0!</v>
      </c>
      <c r="H40" s="463" t="e">
        <f t="shared" ca="1" si="8"/>
        <v>#DIV/0!</v>
      </c>
      <c r="I40" s="442" t="e">
        <f t="shared" ca="1" si="8"/>
        <v>#DIV/0!</v>
      </c>
      <c r="J40" s="442" t="e">
        <f t="shared" ca="1" si="3"/>
        <v>#DIV/0!</v>
      </c>
      <c r="K40" s="362"/>
      <c r="L40" s="369"/>
      <c r="M40" s="369"/>
      <c r="N40" s="362"/>
      <c r="O40" s="362"/>
    </row>
    <row r="41" spans="1:15" x14ac:dyDescent="0.35">
      <c r="A41" s="478" t="s">
        <v>483</v>
      </c>
      <c r="B41" s="479"/>
      <c r="C41" s="479"/>
      <c r="D41" s="1236" t="e">
        <f ca="1">+J38/J29</f>
        <v>#DIV/0!</v>
      </c>
      <c r="E41" s="577" t="e">
        <f ca="1">+J38</f>
        <v>#DIV/0!</v>
      </c>
      <c r="F41" s="369"/>
      <c r="G41" s="369"/>
      <c r="H41" s="480"/>
      <c r="I41" s="369"/>
      <c r="J41" s="369"/>
      <c r="K41" s="369"/>
      <c r="L41" s="369"/>
      <c r="M41" s="369"/>
      <c r="N41" s="362"/>
      <c r="O41" s="362"/>
    </row>
    <row r="42" spans="1:15" x14ac:dyDescent="0.35">
      <c r="A42" s="481" t="s">
        <v>484</v>
      </c>
      <c r="B42" s="369"/>
      <c r="C42" s="369"/>
      <c r="D42" s="442">
        <f ca="1">IF(ISERROR(B80+B99+B118+B137+B156+G80+G99+G118+G137+G156)=TRUE,0,IF(D23="a",B80+B99+B118+B137+B156,G80+G99+G118+G137+G156))</f>
        <v>0</v>
      </c>
      <c r="E42" s="362"/>
      <c r="F42" s="369"/>
      <c r="G42" s="369"/>
      <c r="H42" s="480"/>
      <c r="I42" s="369"/>
      <c r="J42" s="369"/>
      <c r="K42" s="369"/>
      <c r="L42" s="369"/>
      <c r="M42" s="369"/>
      <c r="N42" s="362"/>
      <c r="O42" s="362"/>
    </row>
    <row r="43" spans="1:15" x14ac:dyDescent="0.35">
      <c r="A43" s="482" t="s">
        <v>485</v>
      </c>
      <c r="B43" s="483"/>
      <c r="C43" s="483"/>
      <c r="D43" s="484" t="e">
        <f ca="1">+D42/J29</f>
        <v>#DIV/0!</v>
      </c>
      <c r="E43" s="369"/>
      <c r="F43" s="369"/>
      <c r="G43" s="369"/>
      <c r="H43" s="480"/>
      <c r="I43" s="369"/>
      <c r="J43" s="362"/>
      <c r="K43" s="362"/>
      <c r="L43" s="369"/>
      <c r="M43" s="369"/>
      <c r="N43" s="362"/>
      <c r="O43" s="362"/>
    </row>
    <row r="44" spans="1:15" x14ac:dyDescent="0.35">
      <c r="A44" s="481" t="s">
        <v>486</v>
      </c>
      <c r="B44" s="369"/>
      <c r="C44" s="369"/>
      <c r="D44" s="575">
        <f ca="1">+F3</f>
        <v>0</v>
      </c>
      <c r="E44" s="576">
        <f ca="1">(D44*'Input RNA'!C5)*(1+$D19)^-(D26-$D26)</f>
        <v>0</v>
      </c>
      <c r="F44" s="576">
        <f ca="1">(D44*'Input RNA'!D5)*(1+$D19)^-(E26-$D26)</f>
        <v>0</v>
      </c>
      <c r="G44" s="369"/>
      <c r="H44" s="480"/>
      <c r="I44" s="369"/>
      <c r="J44" s="362"/>
      <c r="K44" s="362"/>
      <c r="L44" s="369"/>
      <c r="M44" s="369"/>
      <c r="N44" s="362"/>
      <c r="O44" s="362"/>
    </row>
    <row r="45" spans="1:15" x14ac:dyDescent="0.35">
      <c r="A45" s="482" t="s">
        <v>487</v>
      </c>
      <c r="B45" s="483"/>
      <c r="C45" s="483"/>
      <c r="D45" s="484" t="e">
        <f ca="1">+D44/J29</f>
        <v>#DIV/0!</v>
      </c>
      <c r="E45" s="369"/>
      <c r="F45" s="369"/>
      <c r="G45" s="369"/>
      <c r="H45" s="480"/>
      <c r="I45" s="369"/>
      <c r="J45" s="362"/>
      <c r="K45" s="362"/>
      <c r="L45" s="369"/>
      <c r="M45" s="369"/>
      <c r="N45" s="362"/>
      <c r="O45" s="362"/>
    </row>
    <row r="46" spans="1:15" ht="17.5" x14ac:dyDescent="0.35">
      <c r="A46" s="1694" t="s">
        <v>488</v>
      </c>
      <c r="B46" s="1695"/>
      <c r="C46" s="485"/>
      <c r="D46" s="486">
        <f ca="1">IF(ISERROR(B277+B289+B301+B313+B325+G277+G289+G301+G313+G325)=TRUE,0,IF(D24="a",B277+B289+B301+B313+B325,G277+G289+G301+G313+G325))</f>
        <v>0</v>
      </c>
      <c r="E46" s="369"/>
      <c r="F46" s="442">
        <f ca="1">+B277+B289+B301+B313+B325</f>
        <v>0</v>
      </c>
      <c r="G46" s="369"/>
      <c r="H46" s="480"/>
      <c r="I46" s="369"/>
      <c r="J46" s="362"/>
      <c r="K46" s="362"/>
      <c r="L46" s="369"/>
      <c r="M46" s="369"/>
      <c r="N46" s="362"/>
      <c r="O46" s="362"/>
    </row>
    <row r="47" spans="1:15" ht="30.75" customHeight="1" thickBot="1" x14ac:dyDescent="0.4">
      <c r="A47" s="487" t="s">
        <v>489</v>
      </c>
      <c r="B47" s="488"/>
      <c r="C47" s="488"/>
      <c r="D47" s="489" t="e">
        <f ca="1">+D46/J29</f>
        <v>#DIV/0!</v>
      </c>
      <c r="E47" s="369"/>
      <c r="F47" s="369"/>
      <c r="G47" s="369"/>
      <c r="H47" s="480"/>
      <c r="I47" s="369"/>
      <c r="J47" s="362"/>
      <c r="K47" s="362"/>
      <c r="L47" s="369"/>
      <c r="M47" s="369"/>
      <c r="N47" s="362"/>
      <c r="O47" s="362"/>
    </row>
    <row r="48" spans="1:15" ht="20.5" thickBot="1" x14ac:dyDescent="0.4">
      <c r="A48" s="1696" t="s">
        <v>490</v>
      </c>
      <c r="B48" s="1697"/>
      <c r="C48" s="490"/>
      <c r="D48" s="491" t="e">
        <f ca="1">+D41+D43+D45+D47</f>
        <v>#DIV/0!</v>
      </c>
      <c r="E48" s="492" t="s">
        <v>491</v>
      </c>
      <c r="F48" s="493"/>
      <c r="G48" s="494" t="e">
        <f ca="1">IF(D48&gt;D18,"ATTENZIONE, ESL ECCESSIVO. IL VALORE CORRETTO CAPO III SI TROVA IN UN DIVERSO FOGLIO, VERIFICARE","OK PLAFOND RISPETTATO")</f>
        <v>#DIV/0!</v>
      </c>
      <c r="H48" s="495"/>
      <c r="I48" s="496"/>
      <c r="J48" s="362"/>
      <c r="K48" s="362"/>
      <c r="L48" s="362"/>
      <c r="M48" s="369"/>
      <c r="N48" s="362"/>
      <c r="O48" s="362"/>
    </row>
    <row r="49" spans="1:15" x14ac:dyDescent="0.35">
      <c r="A49" s="497"/>
      <c r="B49" s="497"/>
      <c r="C49" s="497"/>
      <c r="D49" s="498"/>
      <c r="E49" s="369"/>
      <c r="F49" s="369"/>
      <c r="G49" s="369"/>
      <c r="H49" s="480"/>
      <c r="I49" s="369"/>
      <c r="J49" s="369"/>
      <c r="K49" s="362"/>
      <c r="L49" s="369"/>
      <c r="M49" s="369"/>
      <c r="N49" s="362"/>
      <c r="O49" s="362"/>
    </row>
    <row r="50" spans="1:15" x14ac:dyDescent="0.35">
      <c r="A50" s="499" t="s">
        <v>492</v>
      </c>
      <c r="B50" t="s">
        <v>493</v>
      </c>
      <c r="C50" s="369"/>
      <c r="D50" s="500"/>
      <c r="E50" s="393"/>
      <c r="F50" s="393"/>
      <c r="G50" s="413"/>
      <c r="H50" s="414"/>
      <c r="I50" s="413"/>
      <c r="J50" s="413"/>
      <c r="K50" s="399"/>
      <c r="L50" s="399"/>
      <c r="M50" s="362"/>
      <c r="N50" s="362"/>
      <c r="O50" s="362"/>
    </row>
    <row r="51" spans="1:15" x14ac:dyDescent="0.35">
      <c r="A51" s="497"/>
      <c r="B51" s="497"/>
      <c r="C51" s="497"/>
      <c r="D51" s="498"/>
      <c r="E51" s="369"/>
      <c r="F51" s="369"/>
      <c r="G51" s="369"/>
      <c r="H51" s="480"/>
      <c r="I51" s="369"/>
      <c r="J51" s="369"/>
      <c r="K51" s="362"/>
      <c r="L51" s="369"/>
      <c r="M51" s="369"/>
      <c r="N51" s="362"/>
      <c r="O51" s="362"/>
    </row>
    <row r="52" spans="1:15" x14ac:dyDescent="0.35">
      <c r="A52" s="497"/>
      <c r="B52" s="497"/>
      <c r="C52" s="497"/>
      <c r="D52" s="498"/>
      <c r="E52" s="369"/>
      <c r="F52" s="369"/>
      <c r="G52" s="369"/>
      <c r="H52" s="480"/>
      <c r="I52" s="369"/>
      <c r="J52" s="369"/>
      <c r="K52" s="362"/>
      <c r="L52" s="369"/>
      <c r="M52" s="369"/>
      <c r="N52" s="362"/>
      <c r="O52" s="362"/>
    </row>
    <row r="53" spans="1:15" x14ac:dyDescent="0.35">
      <c r="A53" s="362"/>
      <c r="B53" s="362"/>
      <c r="C53" s="362"/>
      <c r="D53" s="362"/>
      <c r="E53" s="362"/>
      <c r="F53" s="362"/>
      <c r="G53" s="362"/>
      <c r="H53" s="365"/>
      <c r="I53" s="362"/>
      <c r="J53" s="362"/>
      <c r="K53" s="362"/>
      <c r="L53" s="362"/>
      <c r="M53" s="362"/>
      <c r="N53" s="362"/>
      <c r="O53" s="362"/>
    </row>
    <row r="54" spans="1:15" x14ac:dyDescent="0.35">
      <c r="A54" s="362"/>
      <c r="B54" s="362"/>
      <c r="C54" s="362"/>
      <c r="D54" s="362"/>
      <c r="E54" s="362"/>
      <c r="F54" s="362"/>
      <c r="G54" s="362"/>
      <c r="H54" s="365"/>
      <c r="I54" s="362"/>
      <c r="J54" s="362"/>
      <c r="K54" s="362"/>
      <c r="L54" s="362"/>
      <c r="M54" s="362"/>
      <c r="N54" s="362"/>
      <c r="O54" s="362"/>
    </row>
    <row r="55" spans="1:15" ht="20" x14ac:dyDescent="0.35">
      <c r="A55" s="1710" t="s">
        <v>494</v>
      </c>
      <c r="B55" s="1710"/>
      <c r="C55" s="1710"/>
      <c r="D55" s="1710"/>
      <c r="E55" s="1710"/>
      <c r="F55" s="1710"/>
      <c r="G55" s="1710"/>
      <c r="H55" s="501"/>
      <c r="I55" s="502"/>
      <c r="J55" s="502"/>
      <c r="K55" s="502"/>
      <c r="L55" s="502"/>
      <c r="M55" s="502"/>
      <c r="N55" s="502"/>
      <c r="O55" s="502"/>
    </row>
    <row r="56" spans="1:15" x14ac:dyDescent="0.35">
      <c r="A56" s="503" t="s">
        <v>495</v>
      </c>
      <c r="B56" s="503"/>
      <c r="C56" s="503"/>
      <c r="D56" s="503" t="s">
        <v>496</v>
      </c>
      <c r="E56" s="503"/>
      <c r="F56" s="503"/>
      <c r="G56" s="503"/>
      <c r="H56" s="504"/>
      <c r="I56" s="503"/>
      <c r="J56" s="503"/>
      <c r="K56" s="503"/>
      <c r="L56" s="503"/>
      <c r="M56" s="503"/>
      <c r="N56" s="503"/>
      <c r="O56" s="503"/>
    </row>
    <row r="57" spans="1:15" x14ac:dyDescent="0.35">
      <c r="A57" s="362"/>
      <c r="B57" s="362"/>
      <c r="C57" s="362"/>
      <c r="D57" s="1706"/>
      <c r="E57" s="1706"/>
      <c r="F57" s="1706"/>
      <c r="G57" s="362"/>
      <c r="H57" s="365"/>
      <c r="I57" s="362"/>
      <c r="J57" s="362"/>
      <c r="K57" s="362"/>
      <c r="L57" s="362"/>
      <c r="M57" s="362"/>
      <c r="N57" s="362"/>
      <c r="O57" s="362"/>
    </row>
    <row r="58" spans="1:15" ht="15" x14ac:dyDescent="0.35">
      <c r="A58" s="505" t="s">
        <v>497</v>
      </c>
      <c r="B58" s="506"/>
      <c r="C58" s="506"/>
      <c r="D58" s="1711" t="s">
        <v>497</v>
      </c>
      <c r="E58" s="1712"/>
      <c r="F58" s="1713"/>
      <c r="G58" s="506"/>
      <c r="H58" s="507"/>
      <c r="I58" s="506"/>
      <c r="J58" s="506"/>
      <c r="K58" s="506"/>
      <c r="L58" s="506"/>
      <c r="M58" s="506"/>
      <c r="N58" s="506"/>
      <c r="O58" s="506"/>
    </row>
    <row r="59" spans="1:15" ht="15" x14ac:dyDescent="0.35">
      <c r="A59" s="508" t="s">
        <v>498</v>
      </c>
      <c r="B59" s="506"/>
      <c r="C59" s="506"/>
      <c r="D59" s="1714" t="s">
        <v>498</v>
      </c>
      <c r="E59" s="1715"/>
      <c r="F59" s="1716"/>
      <c r="G59" s="506"/>
      <c r="H59" s="507"/>
      <c r="I59" s="506"/>
      <c r="J59" s="506"/>
      <c r="K59" s="506"/>
      <c r="L59" s="506"/>
      <c r="M59" s="506"/>
      <c r="N59" s="506"/>
      <c r="O59" s="506"/>
    </row>
    <row r="60" spans="1:15" ht="15" x14ac:dyDescent="0.35">
      <c r="A60" s="362" t="s">
        <v>499</v>
      </c>
      <c r="B60" s="509" t="e">
        <f>((1+$D$19)^(1/$D$11))-1</f>
        <v>#DIV/0!</v>
      </c>
      <c r="C60" s="506"/>
      <c r="D60" s="1717" t="s">
        <v>500</v>
      </c>
      <c r="E60" s="1717"/>
      <c r="F60" s="1717"/>
      <c r="G60" s="509" t="e">
        <f>((1+$D$19)^(1/$D$11))-1</f>
        <v>#DIV/0!</v>
      </c>
      <c r="H60" s="507"/>
      <c r="I60" s="506"/>
      <c r="J60" s="506"/>
      <c r="K60" s="506"/>
      <c r="L60" s="506"/>
      <c r="M60" s="506"/>
      <c r="N60" s="506"/>
      <c r="O60" s="506"/>
    </row>
    <row r="61" spans="1:15" ht="15" x14ac:dyDescent="0.35">
      <c r="A61" s="362" t="s">
        <v>501</v>
      </c>
      <c r="B61" s="509" t="e">
        <f>((1+$F$21)^(1/$D$11))-1</f>
        <v>#DIV/0!</v>
      </c>
      <c r="C61" s="362"/>
      <c r="D61" s="1706" t="s">
        <v>502</v>
      </c>
      <c r="E61" s="1706"/>
      <c r="F61" s="1706"/>
      <c r="G61" s="509" t="e">
        <f>((1+$F$21)^(1/$D$11))-1</f>
        <v>#DIV/0!</v>
      </c>
      <c r="H61" s="509"/>
      <c r="I61" s="362"/>
      <c r="J61" s="362"/>
      <c r="K61" s="362"/>
      <c r="L61" s="362"/>
      <c r="M61" s="362"/>
      <c r="N61" s="362"/>
      <c r="O61" s="362"/>
    </row>
    <row r="62" spans="1:15" x14ac:dyDescent="0.35">
      <c r="A62" s="362" t="s">
        <v>503</v>
      </c>
      <c r="B62" s="510">
        <f>$D$9+$D$10</f>
        <v>0</v>
      </c>
      <c r="C62" s="362"/>
      <c r="D62" s="1706" t="s">
        <v>503</v>
      </c>
      <c r="E62" s="1706"/>
      <c r="F62" s="1706"/>
      <c r="G62" s="510">
        <f>$D$9+$D$10</f>
        <v>0</v>
      </c>
      <c r="H62" s="365"/>
      <c r="I62" s="442"/>
      <c r="J62" s="362"/>
      <c r="K62" s="362"/>
      <c r="L62" s="362"/>
      <c r="M62" s="362"/>
      <c r="N62" s="362"/>
      <c r="O62" s="362"/>
    </row>
    <row r="63" spans="1:15" x14ac:dyDescent="0.35">
      <c r="A63" s="511" t="s">
        <v>504</v>
      </c>
      <c r="B63" s="512" t="e">
        <f ca="1">$D$35</f>
        <v>#DIV/0!</v>
      </c>
      <c r="C63" s="362"/>
      <c r="D63" s="1707" t="s">
        <v>504</v>
      </c>
      <c r="E63" s="1708"/>
      <c r="F63" s="1708"/>
      <c r="G63" s="512" t="e">
        <f ca="1">$D$35</f>
        <v>#DIV/0!</v>
      </c>
      <c r="H63" s="365"/>
      <c r="I63" s="362"/>
      <c r="J63" s="362"/>
      <c r="K63" s="362"/>
      <c r="L63" s="362"/>
      <c r="M63" s="362"/>
      <c r="N63" s="362"/>
      <c r="O63" s="362"/>
    </row>
    <row r="64" spans="1:15" x14ac:dyDescent="0.35">
      <c r="A64" s="362" t="s">
        <v>505</v>
      </c>
      <c r="B64" s="510">
        <f>IF($D$10*$D$11-0*$D$11&gt;0,$D$10*$D$11-0*$D$11,0)</f>
        <v>0</v>
      </c>
      <c r="C64" s="362"/>
      <c r="D64" s="1690" t="s">
        <v>505</v>
      </c>
      <c r="E64" s="1690"/>
      <c r="F64" s="1690"/>
      <c r="G64" s="510">
        <f>IF($D$10*$D$11-0*$D$11&gt;0,$D$10*$D$11-0*$D$11,0)</f>
        <v>0</v>
      </c>
      <c r="H64" s="365"/>
      <c r="I64" s="362"/>
      <c r="J64" s="362"/>
      <c r="K64" s="362"/>
      <c r="L64" s="362"/>
      <c r="M64" s="362"/>
      <c r="N64" s="362"/>
      <c r="O64" s="362"/>
    </row>
    <row r="65" spans="1:15" x14ac:dyDescent="0.35">
      <c r="A65" s="362" t="s">
        <v>506</v>
      </c>
      <c r="B65" s="510">
        <f>($D$26-$D$26)*$D$11</f>
        <v>0</v>
      </c>
      <c r="C65" s="362"/>
      <c r="D65" s="1690" t="s">
        <v>506</v>
      </c>
      <c r="E65" s="1690"/>
      <c r="F65" s="1690"/>
      <c r="G65" s="510">
        <f>($D$26-$D$26)*$D$11</f>
        <v>0</v>
      </c>
      <c r="H65" s="365"/>
      <c r="I65" s="362"/>
      <c r="J65" s="362"/>
      <c r="K65" s="362"/>
      <c r="L65" s="362"/>
      <c r="M65" s="362"/>
      <c r="N65" s="362"/>
      <c r="O65" s="362"/>
    </row>
    <row r="66" spans="1:15" x14ac:dyDescent="0.35">
      <c r="A66" s="362" t="s">
        <v>507</v>
      </c>
      <c r="B66" s="513">
        <f>$B$62*$D$11-B64-B65</f>
        <v>0</v>
      </c>
      <c r="C66" s="362"/>
      <c r="D66" s="1690" t="s">
        <v>507</v>
      </c>
      <c r="E66" s="1690"/>
      <c r="F66" s="1690"/>
      <c r="G66" s="513">
        <f>$G$62*$D$11-G64-G65</f>
        <v>0</v>
      </c>
      <c r="H66" s="365"/>
      <c r="I66" s="514"/>
      <c r="J66" s="514"/>
      <c r="K66" s="515"/>
      <c r="L66" s="362"/>
      <c r="M66" s="362"/>
      <c r="N66" s="362"/>
      <c r="O66" s="362"/>
    </row>
    <row r="67" spans="1:15" ht="15.5" x14ac:dyDescent="0.35">
      <c r="A67" s="362" t="s">
        <v>508</v>
      </c>
      <c r="B67" s="516" t="e">
        <f>(1+$B$60)^-B64</f>
        <v>#DIV/0!</v>
      </c>
      <c r="C67" s="362"/>
      <c r="D67" s="1709" t="s">
        <v>509</v>
      </c>
      <c r="E67" s="1709"/>
      <c r="F67" s="1709"/>
      <c r="G67" s="515" t="e">
        <f>(1+$G$60)^-G64</f>
        <v>#DIV/0!</v>
      </c>
      <c r="H67" s="509"/>
      <c r="I67" s="362"/>
      <c r="J67" s="362"/>
      <c r="K67" s="362"/>
      <c r="L67" s="362"/>
      <c r="M67" s="362"/>
      <c r="N67" s="362"/>
      <c r="O67" s="362"/>
    </row>
    <row r="68" spans="1:15" ht="15.5" x14ac:dyDescent="0.35">
      <c r="A68" s="362" t="s">
        <v>510</v>
      </c>
      <c r="B68" s="516" t="e">
        <f>(1+$B$60)^-B65</f>
        <v>#DIV/0!</v>
      </c>
      <c r="C68" s="362"/>
      <c r="D68" s="1690" t="s">
        <v>511</v>
      </c>
      <c r="E68" s="1690"/>
      <c r="F68" s="1690"/>
      <c r="G68" s="516" t="e">
        <f>(1+$G$60)^-G65</f>
        <v>#DIV/0!</v>
      </c>
      <c r="H68" s="365"/>
      <c r="I68" s="362"/>
      <c r="J68" s="362"/>
      <c r="K68" s="362"/>
      <c r="L68" s="362"/>
      <c r="M68" s="362"/>
      <c r="N68" s="362"/>
      <c r="O68" s="362"/>
    </row>
    <row r="69" spans="1:15" ht="15.5" x14ac:dyDescent="0.35">
      <c r="A69" s="362"/>
      <c r="B69" s="362"/>
      <c r="C69" s="362"/>
      <c r="D69" s="1709" t="s">
        <v>512</v>
      </c>
      <c r="E69" s="1709"/>
      <c r="F69" s="1709"/>
      <c r="G69" s="515" t="e">
        <f>(1+$G$60)^-G66</f>
        <v>#DIV/0!</v>
      </c>
      <c r="H69" s="509"/>
      <c r="I69" s="362"/>
      <c r="J69" s="362"/>
      <c r="K69" s="362"/>
      <c r="L69" s="362"/>
      <c r="M69" s="362"/>
      <c r="N69" s="362"/>
      <c r="O69" s="362"/>
    </row>
    <row r="70" spans="1:15" ht="15" x14ac:dyDescent="0.35">
      <c r="A70" s="362"/>
      <c r="B70" s="514"/>
      <c r="C70" s="514"/>
      <c r="D70" s="1709" t="s">
        <v>513</v>
      </c>
      <c r="E70" s="1709"/>
      <c r="F70" s="1709"/>
      <c r="G70" s="515" t="e">
        <f>PV($G$60,G66,-1)</f>
        <v>#DIV/0!</v>
      </c>
      <c r="H70" s="509"/>
      <c r="I70" s="362"/>
      <c r="J70" s="362"/>
      <c r="K70" s="362"/>
      <c r="L70" s="362"/>
      <c r="M70" s="362"/>
      <c r="N70" s="362"/>
      <c r="O70" s="362"/>
    </row>
    <row r="71" spans="1:15" ht="15" x14ac:dyDescent="0.35">
      <c r="A71" s="362"/>
      <c r="B71" s="362"/>
      <c r="C71" s="362"/>
      <c r="D71" s="1709" t="s">
        <v>514</v>
      </c>
      <c r="E71" s="1709"/>
      <c r="F71" s="1709"/>
      <c r="G71" s="515" t="e">
        <f>PV($G$60,G66-1,-1)</f>
        <v>#DIV/0!</v>
      </c>
      <c r="H71" s="509"/>
      <c r="I71" s="362"/>
      <c r="J71" s="362"/>
      <c r="K71" s="362"/>
      <c r="L71" s="362"/>
      <c r="M71" s="362"/>
      <c r="N71" s="362"/>
      <c r="O71" s="362"/>
    </row>
    <row r="72" spans="1:15" x14ac:dyDescent="0.35">
      <c r="A72" s="362" t="s">
        <v>515</v>
      </c>
      <c r="B72" s="463" t="e">
        <f ca="1">$B$61*$D$35</f>
        <v>#DIV/0!</v>
      </c>
      <c r="C72" s="362"/>
      <c r="D72" s="1690" t="s">
        <v>515</v>
      </c>
      <c r="E72" s="1690"/>
      <c r="F72" s="1690"/>
      <c r="G72" s="463" t="e">
        <f ca="1">$G$61*$D$35</f>
        <v>#DIV/0!</v>
      </c>
      <c r="H72" s="509"/>
      <c r="I72" s="362"/>
      <c r="J72" s="362"/>
      <c r="K72" s="362"/>
      <c r="L72" s="362"/>
      <c r="M72" s="362"/>
      <c r="N72" s="362"/>
      <c r="O72" s="362"/>
    </row>
    <row r="73" spans="1:15" ht="15" x14ac:dyDescent="0.35">
      <c r="A73" s="362" t="s">
        <v>516</v>
      </c>
      <c r="B73" s="463" t="e">
        <f ca="1">PV($B$60,B64,-B72)</f>
        <v>#DIV/0!</v>
      </c>
      <c r="C73" s="362"/>
      <c r="D73" s="1709" t="s">
        <v>517</v>
      </c>
      <c r="E73" s="1709"/>
      <c r="F73" s="1709"/>
      <c r="G73" s="463" t="e">
        <f ca="1">PV($G$60,G64,-G72)</f>
        <v>#DIV/0!</v>
      </c>
      <c r="H73" s="509"/>
      <c r="I73" s="362"/>
      <c r="J73" s="362"/>
      <c r="K73" s="362"/>
      <c r="L73" s="362"/>
      <c r="M73" s="362"/>
      <c r="N73" s="362"/>
      <c r="O73" s="362"/>
    </row>
    <row r="74" spans="1:15" x14ac:dyDescent="0.35">
      <c r="A74" s="362"/>
      <c r="B74" s="362"/>
      <c r="C74" s="362"/>
      <c r="D74" s="1709" t="s">
        <v>518</v>
      </c>
      <c r="E74" s="1709"/>
      <c r="F74" s="1709"/>
      <c r="G74" s="463" t="e">
        <f ca="1">$D$35/G66</f>
        <v>#DIV/0!</v>
      </c>
      <c r="H74" s="509"/>
      <c r="I74" s="362"/>
      <c r="J74" s="362"/>
      <c r="K74" s="362"/>
      <c r="L74" s="362"/>
      <c r="M74" s="362"/>
      <c r="N74" s="362"/>
      <c r="O74" s="362"/>
    </row>
    <row r="75" spans="1:15" x14ac:dyDescent="0.35">
      <c r="A75" s="362"/>
      <c r="B75" s="362"/>
      <c r="C75" s="362"/>
      <c r="D75" s="1709" t="s">
        <v>519</v>
      </c>
      <c r="E75" s="1709"/>
      <c r="F75" s="1709"/>
      <c r="G75" s="463" t="e">
        <f ca="1">$G$61*$D$35</f>
        <v>#DIV/0!</v>
      </c>
      <c r="H75" s="509"/>
      <c r="I75" s="362"/>
      <c r="J75" s="362"/>
      <c r="K75" s="362"/>
      <c r="L75" s="362"/>
      <c r="M75" s="362"/>
      <c r="N75" s="362"/>
      <c r="O75" s="362"/>
    </row>
    <row r="76" spans="1:15" x14ac:dyDescent="0.35">
      <c r="A76" s="362"/>
      <c r="B76" s="362"/>
      <c r="C76" s="362"/>
      <c r="D76" s="1709" t="s">
        <v>520</v>
      </c>
      <c r="E76" s="1709"/>
      <c r="F76" s="1709"/>
      <c r="G76" s="463" t="e">
        <f ca="1">G74+G75</f>
        <v>#DIV/0!</v>
      </c>
      <c r="H76" s="509"/>
      <c r="I76" s="362"/>
      <c r="J76" s="362"/>
      <c r="K76" s="362"/>
      <c r="L76" s="362"/>
      <c r="M76" s="362"/>
      <c r="N76" s="362"/>
      <c r="O76" s="362"/>
    </row>
    <row r="77" spans="1:15" x14ac:dyDescent="0.35">
      <c r="A77" s="442" t="s">
        <v>521</v>
      </c>
      <c r="B77" s="463" t="e">
        <f ca="1">PMT($B$61,B66,-$D$35)</f>
        <v>#DIV/0!</v>
      </c>
      <c r="C77" s="362"/>
      <c r="D77" s="1709" t="s">
        <v>522</v>
      </c>
      <c r="E77" s="1709"/>
      <c r="F77" s="1709"/>
      <c r="G77" s="463" t="e">
        <f ca="1">-G74*$G$61</f>
        <v>#DIV/0!</v>
      </c>
      <c r="H77" s="509"/>
      <c r="I77" s="362"/>
      <c r="J77" s="362"/>
      <c r="K77" s="362"/>
      <c r="L77" s="362"/>
      <c r="M77" s="362"/>
      <c r="N77" s="362"/>
      <c r="O77" s="362"/>
    </row>
    <row r="78" spans="1:15" ht="15" x14ac:dyDescent="0.35">
      <c r="A78" s="442" t="s">
        <v>523</v>
      </c>
      <c r="B78" s="463" t="e">
        <f ca="1">PV($B$60,B66,-B77)*B67</f>
        <v>#DIV/0!</v>
      </c>
      <c r="C78" s="362"/>
      <c r="D78" s="1709" t="s">
        <v>524</v>
      </c>
      <c r="E78" s="1709"/>
      <c r="F78" s="1709"/>
      <c r="G78" s="463" t="e">
        <f ca="1">(G76*G70+G77*(G71-(G66-1)*G69)/$G$60)*G67</f>
        <v>#DIV/0!</v>
      </c>
      <c r="H78" s="509"/>
      <c r="I78" s="362"/>
      <c r="J78" s="362"/>
      <c r="K78" s="362"/>
      <c r="L78" s="362"/>
      <c r="M78" s="362"/>
      <c r="N78" s="362"/>
      <c r="O78" s="362"/>
    </row>
    <row r="79" spans="1:15" ht="15" thickBot="1" x14ac:dyDescent="0.4">
      <c r="A79" s="442" t="s">
        <v>525</v>
      </c>
      <c r="B79" s="463" t="e">
        <f ca="1">B73+B78</f>
        <v>#DIV/0!</v>
      </c>
      <c r="C79" s="362"/>
      <c r="D79" s="1718" t="s">
        <v>526</v>
      </c>
      <c r="E79" s="1718"/>
      <c r="F79" s="1718"/>
      <c r="G79" s="463" t="e">
        <f ca="1">G73+G78</f>
        <v>#DIV/0!</v>
      </c>
      <c r="H79" s="509"/>
      <c r="I79" s="362"/>
      <c r="J79" s="362"/>
      <c r="K79" s="362"/>
      <c r="L79" s="362"/>
      <c r="M79" s="362"/>
      <c r="N79" s="362"/>
      <c r="O79" s="362"/>
    </row>
    <row r="80" spans="1:15" ht="16.5" thickTop="1" thickBot="1" x14ac:dyDescent="0.4">
      <c r="A80" s="517" t="s">
        <v>527</v>
      </c>
      <c r="B80" s="518" t="e">
        <f ca="1">($D$35-B79)*B68</f>
        <v>#DIV/0!</v>
      </c>
      <c r="C80" s="362"/>
      <c r="D80" s="1719" t="s">
        <v>527</v>
      </c>
      <c r="E80" s="1720"/>
      <c r="F80" s="1720"/>
      <c r="G80" s="518" t="e">
        <f ca="1">($D$35-G79)*G68</f>
        <v>#DIV/0!</v>
      </c>
      <c r="H80" s="509"/>
      <c r="I80" s="362"/>
      <c r="J80" s="362"/>
      <c r="K80" s="362"/>
      <c r="L80" s="362"/>
      <c r="M80" s="362"/>
      <c r="N80" s="362"/>
      <c r="O80" s="362"/>
    </row>
    <row r="81" spans="1:15" ht="15" thickTop="1" x14ac:dyDescent="0.35">
      <c r="A81" s="362"/>
      <c r="B81" s="362"/>
      <c r="C81" s="362"/>
      <c r="D81" s="362"/>
      <c r="E81" s="362"/>
      <c r="F81" s="362"/>
      <c r="G81" s="510"/>
      <c r="H81" s="365"/>
      <c r="I81" s="362"/>
      <c r="J81" s="362"/>
      <c r="K81" s="362"/>
      <c r="L81" s="362"/>
      <c r="M81" s="362"/>
      <c r="N81" s="362"/>
      <c r="O81" s="362"/>
    </row>
    <row r="82" spans="1:15" x14ac:dyDescent="0.35">
      <c r="A82" s="511" t="s">
        <v>528</v>
      </c>
      <c r="B82" s="512" t="e">
        <f ca="1">$E$35</f>
        <v>#DIV/0!</v>
      </c>
      <c r="C82" s="362"/>
      <c r="D82" s="1707" t="s">
        <v>528</v>
      </c>
      <c r="E82" s="1708"/>
      <c r="F82" s="1708"/>
      <c r="G82" s="512" t="e">
        <f ca="1">$E$35</f>
        <v>#DIV/0!</v>
      </c>
      <c r="H82" s="365"/>
      <c r="I82" s="362"/>
      <c r="J82" s="362"/>
      <c r="K82" s="362"/>
      <c r="L82" s="362"/>
      <c r="M82" s="362"/>
      <c r="N82" s="362"/>
      <c r="O82" s="362"/>
    </row>
    <row r="83" spans="1:15" x14ac:dyDescent="0.35">
      <c r="A83" s="362" t="s">
        <v>505</v>
      </c>
      <c r="B83" s="510">
        <f>IF($D$10*$D$11-1*$D$11&gt;0,$D$10*$D$11-1*$D$11,0)</f>
        <v>0</v>
      </c>
      <c r="C83" s="362"/>
      <c r="D83" s="1690" t="s">
        <v>505</v>
      </c>
      <c r="E83" s="1690"/>
      <c r="F83" s="1690"/>
      <c r="G83" s="510">
        <f>IF($D$10*$D$11-1*$D$11&gt;0,$D$10*$D$11-1*$D$11,0)</f>
        <v>0</v>
      </c>
      <c r="H83" s="365"/>
      <c r="I83" s="362"/>
      <c r="J83" s="362"/>
      <c r="K83" s="362"/>
      <c r="L83" s="362"/>
      <c r="M83" s="362"/>
      <c r="N83" s="362"/>
      <c r="O83" s="362"/>
    </row>
    <row r="84" spans="1:15" x14ac:dyDescent="0.35">
      <c r="A84" s="362" t="s">
        <v>529</v>
      </c>
      <c r="B84" s="510">
        <f>($E$26-$D$26)*$D$11</f>
        <v>0</v>
      </c>
      <c r="C84" s="362"/>
      <c r="D84" s="1690" t="s">
        <v>506</v>
      </c>
      <c r="E84" s="1690"/>
      <c r="F84" s="1690"/>
      <c r="G84" s="510">
        <f>($E$26-$D$26)*$D$11</f>
        <v>0</v>
      </c>
      <c r="H84" s="365"/>
      <c r="I84" s="362"/>
      <c r="J84" s="362"/>
      <c r="K84" s="362"/>
      <c r="L84" s="362"/>
      <c r="M84" s="362"/>
      <c r="N84" s="362"/>
      <c r="O84" s="362"/>
    </row>
    <row r="85" spans="1:15" x14ac:dyDescent="0.35">
      <c r="A85" s="362" t="s">
        <v>507</v>
      </c>
      <c r="B85" s="513">
        <f>$B$62*$D$11-B83-B84</f>
        <v>0</v>
      </c>
      <c r="C85" s="362"/>
      <c r="D85" s="1690" t="s">
        <v>507</v>
      </c>
      <c r="E85" s="1690"/>
      <c r="F85" s="1690"/>
      <c r="G85" s="513">
        <f>$G$62*$D$11-G83-G84</f>
        <v>0</v>
      </c>
      <c r="H85" s="365"/>
      <c r="I85" s="362"/>
      <c r="J85" s="362"/>
      <c r="K85" s="362"/>
      <c r="L85" s="362"/>
      <c r="M85" s="362"/>
      <c r="N85" s="362"/>
      <c r="O85" s="362"/>
    </row>
    <row r="86" spans="1:15" ht="15.5" x14ac:dyDescent="0.35">
      <c r="A86" s="362" t="s">
        <v>530</v>
      </c>
      <c r="B86" s="516" t="e">
        <f>(1+$B$60)^-B83</f>
        <v>#DIV/0!</v>
      </c>
      <c r="C86" s="362"/>
      <c r="D86" s="1709" t="s">
        <v>509</v>
      </c>
      <c r="E86" s="1709"/>
      <c r="F86" s="1709"/>
      <c r="G86" s="515" t="e">
        <f>(1+$G$60)^-G83</f>
        <v>#DIV/0!</v>
      </c>
      <c r="H86" s="365"/>
      <c r="I86" s="362"/>
      <c r="J86" s="362"/>
      <c r="K86" s="362"/>
      <c r="L86" s="362"/>
      <c r="M86" s="362"/>
      <c r="N86" s="362"/>
      <c r="O86" s="362"/>
    </row>
    <row r="87" spans="1:15" ht="15.5" x14ac:dyDescent="0.35">
      <c r="A87" s="362" t="s">
        <v>510</v>
      </c>
      <c r="B87" s="516" t="e">
        <f>(1+$B$60)^-B84</f>
        <v>#DIV/0!</v>
      </c>
      <c r="C87" s="362"/>
      <c r="D87" s="1690" t="s">
        <v>511</v>
      </c>
      <c r="E87" s="1690"/>
      <c r="F87" s="1690"/>
      <c r="G87" s="519" t="e">
        <f>(1+$G$60)^-G84</f>
        <v>#DIV/0!</v>
      </c>
      <c r="H87" s="365"/>
      <c r="I87" s="362"/>
      <c r="J87" s="362"/>
      <c r="K87" s="362"/>
      <c r="L87" s="362"/>
      <c r="M87" s="362"/>
      <c r="N87" s="362"/>
      <c r="O87" s="362"/>
    </row>
    <row r="88" spans="1:15" ht="15.5" x14ac:dyDescent="0.35">
      <c r="A88" s="362"/>
      <c r="B88" s="362"/>
      <c r="C88" s="362"/>
      <c r="D88" s="1709" t="s">
        <v>512</v>
      </c>
      <c r="E88" s="1709"/>
      <c r="F88" s="1709"/>
      <c r="G88" s="515" t="e">
        <f>(1+$G$60)^-G85</f>
        <v>#DIV/0!</v>
      </c>
      <c r="H88" s="365"/>
      <c r="I88" s="362"/>
      <c r="J88" s="362"/>
      <c r="K88" s="362"/>
      <c r="L88" s="362"/>
      <c r="M88" s="362"/>
      <c r="N88" s="362"/>
      <c r="O88" s="362"/>
    </row>
    <row r="89" spans="1:15" ht="15" x14ac:dyDescent="0.35">
      <c r="A89" s="362"/>
      <c r="B89" s="362"/>
      <c r="C89" s="362"/>
      <c r="D89" s="1709" t="s">
        <v>513</v>
      </c>
      <c r="E89" s="1709"/>
      <c r="F89" s="1709"/>
      <c r="G89" s="515" t="e">
        <f>PV($G$60,G85,-1)</f>
        <v>#DIV/0!</v>
      </c>
      <c r="H89" s="365"/>
      <c r="I89" s="362"/>
      <c r="J89" s="362"/>
      <c r="K89" s="362"/>
      <c r="L89" s="362"/>
      <c r="M89" s="362"/>
      <c r="N89" s="362"/>
      <c r="O89" s="362"/>
    </row>
    <row r="90" spans="1:15" ht="15" x14ac:dyDescent="0.35">
      <c r="A90" s="362"/>
      <c r="B90" s="362"/>
      <c r="C90" s="362"/>
      <c r="D90" s="1709" t="s">
        <v>514</v>
      </c>
      <c r="E90" s="1709"/>
      <c r="F90" s="1709"/>
      <c r="G90" s="515" t="e">
        <f>PV($G$60,G85-1,-1)</f>
        <v>#DIV/0!</v>
      </c>
      <c r="H90" s="365"/>
      <c r="I90" s="362"/>
      <c r="J90" s="362"/>
      <c r="K90" s="362"/>
      <c r="L90" s="362"/>
      <c r="M90" s="362"/>
      <c r="N90" s="362"/>
      <c r="O90" s="362"/>
    </row>
    <row r="91" spans="1:15" x14ac:dyDescent="0.35">
      <c r="A91" s="362" t="s">
        <v>515</v>
      </c>
      <c r="B91" s="463" t="e">
        <f ca="1">$B$61*$E$35</f>
        <v>#DIV/0!</v>
      </c>
      <c r="C91" s="362"/>
      <c r="D91" s="1690" t="s">
        <v>515</v>
      </c>
      <c r="E91" s="1690"/>
      <c r="F91" s="1690"/>
      <c r="G91" s="463" t="e">
        <f ca="1">$G$61*$E$35</f>
        <v>#DIV/0!</v>
      </c>
      <c r="H91" s="520"/>
      <c r="I91" s="362"/>
      <c r="J91" s="362"/>
      <c r="K91" s="362"/>
      <c r="L91" s="362"/>
      <c r="M91" s="362"/>
      <c r="N91" s="362"/>
      <c r="O91" s="362"/>
    </row>
    <row r="92" spans="1:15" ht="15" x14ac:dyDescent="0.35">
      <c r="A92" s="362" t="s">
        <v>516</v>
      </c>
      <c r="B92" s="463" t="e">
        <f ca="1">PV($B$60,B83,-B91)</f>
        <v>#DIV/0!</v>
      </c>
      <c r="C92" s="521"/>
      <c r="D92" s="1709" t="s">
        <v>517</v>
      </c>
      <c r="E92" s="1709"/>
      <c r="F92" s="1709"/>
      <c r="G92" s="463" t="e">
        <f ca="1">PV($G$60,G83,-G91)</f>
        <v>#DIV/0!</v>
      </c>
      <c r="H92" s="522"/>
      <c r="I92" s="362"/>
      <c r="J92" s="362"/>
      <c r="K92" s="362"/>
      <c r="L92" s="362"/>
      <c r="M92" s="362"/>
      <c r="N92" s="362"/>
      <c r="O92" s="362"/>
    </row>
    <row r="93" spans="1:15" x14ac:dyDescent="0.35">
      <c r="A93" s="362"/>
      <c r="B93" s="362"/>
      <c r="C93" s="523"/>
      <c r="D93" s="1709" t="s">
        <v>518</v>
      </c>
      <c r="E93" s="1709"/>
      <c r="F93" s="1709"/>
      <c r="G93" s="463" t="e">
        <f ca="1">$E$35/G85</f>
        <v>#DIV/0!</v>
      </c>
      <c r="H93" s="522"/>
      <c r="I93" s="362"/>
      <c r="J93" s="362"/>
      <c r="K93" s="362"/>
      <c r="L93" s="362"/>
      <c r="M93" s="362"/>
      <c r="N93" s="362"/>
      <c r="O93" s="362"/>
    </row>
    <row r="94" spans="1:15" x14ac:dyDescent="0.35">
      <c r="A94" s="362"/>
      <c r="B94" s="362"/>
      <c r="C94" s="362"/>
      <c r="D94" s="1709" t="s">
        <v>519</v>
      </c>
      <c r="E94" s="1709"/>
      <c r="F94" s="1709"/>
      <c r="G94" s="463" t="e">
        <f ca="1">$G$61*$E$35</f>
        <v>#DIV/0!</v>
      </c>
      <c r="H94" s="522"/>
      <c r="I94" s="362"/>
      <c r="J94" s="362"/>
      <c r="K94" s="362"/>
      <c r="L94" s="362"/>
      <c r="M94" s="362"/>
      <c r="N94" s="362"/>
      <c r="O94" s="362"/>
    </row>
    <row r="95" spans="1:15" x14ac:dyDescent="0.35">
      <c r="A95" s="362"/>
      <c r="B95" s="362"/>
      <c r="C95" s="362"/>
      <c r="D95" s="1709" t="s">
        <v>520</v>
      </c>
      <c r="E95" s="1709"/>
      <c r="F95" s="1709"/>
      <c r="G95" s="463" t="e">
        <f ca="1">G93+G94</f>
        <v>#DIV/0!</v>
      </c>
      <c r="H95" s="522"/>
      <c r="I95" s="362"/>
      <c r="J95" s="362"/>
      <c r="K95" s="362"/>
      <c r="L95" s="362"/>
      <c r="M95" s="362"/>
      <c r="N95" s="362"/>
      <c r="O95" s="362"/>
    </row>
    <row r="96" spans="1:15" x14ac:dyDescent="0.35">
      <c r="A96" s="442" t="s">
        <v>521</v>
      </c>
      <c r="B96" s="463" t="e">
        <f ca="1">PMT($B$61,B85,-$E$35)</f>
        <v>#DIV/0!</v>
      </c>
      <c r="C96" s="362"/>
      <c r="D96" s="1709" t="s">
        <v>522</v>
      </c>
      <c r="E96" s="1709"/>
      <c r="F96" s="1709"/>
      <c r="G96" s="463" t="e">
        <f ca="1">-G93*$G$61</f>
        <v>#DIV/0!</v>
      </c>
      <c r="H96" s="522"/>
      <c r="I96" s="362"/>
      <c r="J96" s="362"/>
      <c r="K96" s="362"/>
      <c r="L96" s="362"/>
      <c r="M96" s="362"/>
      <c r="N96" s="362"/>
      <c r="O96" s="362"/>
    </row>
    <row r="97" spans="1:15" ht="15" x14ac:dyDescent="0.35">
      <c r="A97" s="442" t="s">
        <v>523</v>
      </c>
      <c r="B97" s="463" t="e">
        <f ca="1">PV($B$60,B85,-B96)*B86</f>
        <v>#DIV/0!</v>
      </c>
      <c r="C97" s="362"/>
      <c r="D97" s="1709" t="s">
        <v>524</v>
      </c>
      <c r="E97" s="1709"/>
      <c r="F97" s="1709"/>
      <c r="G97" s="463" t="e">
        <f ca="1">(G95*G89+G96*(G90-(G85-1)*G88)/$G$60)*G86</f>
        <v>#DIV/0!</v>
      </c>
      <c r="H97" s="524"/>
      <c r="I97" s="362"/>
      <c r="J97" s="362"/>
      <c r="K97" s="362"/>
      <c r="L97" s="362"/>
      <c r="M97" s="362"/>
      <c r="N97" s="362"/>
      <c r="O97" s="362"/>
    </row>
    <row r="98" spans="1:15" ht="15" thickBot="1" x14ac:dyDescent="0.4">
      <c r="A98" s="442" t="s">
        <v>525</v>
      </c>
      <c r="B98" s="463" t="e">
        <f ca="1">B92+B97</f>
        <v>#DIV/0!</v>
      </c>
      <c r="C98" s="362"/>
      <c r="D98" s="1718" t="s">
        <v>526</v>
      </c>
      <c r="E98" s="1718"/>
      <c r="F98" s="1718"/>
      <c r="G98" s="463" t="e">
        <f ca="1">G92+G97</f>
        <v>#DIV/0!</v>
      </c>
      <c r="H98" s="525"/>
      <c r="I98" s="362"/>
      <c r="J98" s="362"/>
      <c r="K98" s="362"/>
      <c r="L98" s="362"/>
      <c r="M98" s="362"/>
      <c r="N98" s="362"/>
      <c r="O98" s="362"/>
    </row>
    <row r="99" spans="1:15" ht="16.5" thickTop="1" thickBot="1" x14ac:dyDescent="0.4">
      <c r="A99" s="517" t="s">
        <v>527</v>
      </c>
      <c r="B99" s="518">
        <f>IF(B85&lt;=0,0,($E$35-B98)*B87)</f>
        <v>0</v>
      </c>
      <c r="C99" s="362"/>
      <c r="D99" s="1719" t="s">
        <v>527</v>
      </c>
      <c r="E99" s="1720"/>
      <c r="F99" s="1720"/>
      <c r="G99" s="518">
        <f>IF(G85&lt;=0,0,($E$35-G98)*G87)</f>
        <v>0</v>
      </c>
      <c r="H99" s="365"/>
      <c r="I99" s="362"/>
      <c r="J99" s="362"/>
      <c r="K99" s="362"/>
      <c r="L99" s="362"/>
      <c r="M99" s="362"/>
      <c r="N99" s="362"/>
      <c r="O99" s="362"/>
    </row>
    <row r="100" spans="1:15" ht="15" thickTop="1" x14ac:dyDescent="0.35">
      <c r="A100" s="362"/>
      <c r="B100" s="362"/>
      <c r="C100" s="362"/>
      <c r="D100" s="362"/>
      <c r="E100" s="362"/>
      <c r="F100" s="362"/>
      <c r="G100" s="362"/>
      <c r="H100" s="365"/>
      <c r="I100" s="362"/>
      <c r="J100" s="362"/>
      <c r="K100" s="362"/>
      <c r="L100" s="362"/>
      <c r="M100" s="362"/>
      <c r="N100" s="362"/>
      <c r="O100" s="362"/>
    </row>
    <row r="101" spans="1:15" x14ac:dyDescent="0.35">
      <c r="A101" s="511" t="s">
        <v>531</v>
      </c>
      <c r="B101" s="512" t="e">
        <f ca="1">$F$35</f>
        <v>#DIV/0!</v>
      </c>
      <c r="C101" s="362"/>
      <c r="D101" s="1707" t="s">
        <v>532</v>
      </c>
      <c r="E101" s="1708"/>
      <c r="F101" s="1708"/>
      <c r="G101" s="512" t="e">
        <f ca="1">$F$35</f>
        <v>#DIV/0!</v>
      </c>
      <c r="H101" s="365"/>
      <c r="I101" s="362"/>
      <c r="J101" s="362"/>
      <c r="K101" s="362"/>
      <c r="L101" s="362"/>
      <c r="M101" s="362"/>
      <c r="N101" s="362"/>
      <c r="O101" s="362"/>
    </row>
    <row r="102" spans="1:15" x14ac:dyDescent="0.35">
      <c r="A102" s="362" t="s">
        <v>505</v>
      </c>
      <c r="B102" s="510">
        <f>IF($D$10*$D$11-2*$D$11&gt;0,$D$10*$D$11-2*$D$11,0)</f>
        <v>0</v>
      </c>
      <c r="C102" s="362"/>
      <c r="D102" s="1690" t="s">
        <v>505</v>
      </c>
      <c r="E102" s="1690"/>
      <c r="F102" s="1690"/>
      <c r="G102" s="510">
        <f>IF($D$10*$D$11-2*$D$11&gt;0,$D$10*$D$11-2*$D$11,0)</f>
        <v>0</v>
      </c>
      <c r="H102" s="365"/>
      <c r="I102" s="362"/>
      <c r="J102" s="362"/>
      <c r="K102" s="362"/>
      <c r="L102" s="362"/>
      <c r="M102" s="362"/>
      <c r="N102" s="362"/>
      <c r="O102" s="362"/>
    </row>
    <row r="103" spans="1:15" x14ac:dyDescent="0.35">
      <c r="A103" s="362" t="s">
        <v>506</v>
      </c>
      <c r="B103" s="510">
        <f>($F$26-$D$26)*$D$11</f>
        <v>0</v>
      </c>
      <c r="C103" s="362"/>
      <c r="D103" s="1690" t="s">
        <v>506</v>
      </c>
      <c r="E103" s="1690"/>
      <c r="F103" s="1690"/>
      <c r="G103" s="510">
        <f>($F$26-$D$26)*$D$11</f>
        <v>0</v>
      </c>
      <c r="H103" s="365"/>
      <c r="I103" s="362"/>
      <c r="J103" s="362"/>
      <c r="K103" s="362"/>
      <c r="L103" s="362"/>
      <c r="M103" s="362"/>
      <c r="N103" s="362"/>
      <c r="O103" s="362"/>
    </row>
    <row r="104" spans="1:15" x14ac:dyDescent="0.35">
      <c r="A104" s="362" t="s">
        <v>507</v>
      </c>
      <c r="B104" s="513">
        <f>$B$62*$D$11-B102-B103</f>
        <v>0</v>
      </c>
      <c r="C104" s="362"/>
      <c r="D104" s="1690" t="s">
        <v>507</v>
      </c>
      <c r="E104" s="1690"/>
      <c r="F104" s="1690"/>
      <c r="G104" s="513">
        <f>$G$62*$D$11-G102-G103</f>
        <v>0</v>
      </c>
      <c r="H104" s="365"/>
      <c r="I104" s="362"/>
      <c r="J104" s="362"/>
      <c r="K104" s="362"/>
      <c r="L104" s="362"/>
      <c r="M104" s="362"/>
      <c r="N104" s="362"/>
      <c r="O104" s="362"/>
    </row>
    <row r="105" spans="1:15" ht="15.5" x14ac:dyDescent="0.35">
      <c r="A105" s="362" t="s">
        <v>530</v>
      </c>
      <c r="B105" s="516" t="e">
        <f>(1+$B$60)^-B102</f>
        <v>#DIV/0!</v>
      </c>
      <c r="C105" s="362"/>
      <c r="D105" s="1709" t="s">
        <v>509</v>
      </c>
      <c r="E105" s="1709"/>
      <c r="F105" s="1709"/>
      <c r="G105" s="515" t="e">
        <f>(1+$G$60)^-G102</f>
        <v>#DIV/0!</v>
      </c>
      <c r="H105" s="365"/>
      <c r="I105" s="362"/>
      <c r="J105" s="362"/>
      <c r="K105" s="362"/>
      <c r="L105" s="362"/>
      <c r="M105" s="362"/>
      <c r="N105" s="362"/>
      <c r="O105" s="362"/>
    </row>
    <row r="106" spans="1:15" ht="15.5" x14ac:dyDescent="0.35">
      <c r="A106" s="362" t="s">
        <v>510</v>
      </c>
      <c r="B106" s="516" t="e">
        <f>(1+$B$60)^-B103</f>
        <v>#DIV/0!</v>
      </c>
      <c r="C106" s="362"/>
      <c r="D106" s="1690" t="s">
        <v>511</v>
      </c>
      <c r="E106" s="1690"/>
      <c r="F106" s="1690"/>
      <c r="G106" s="519" t="e">
        <f>(1+$G$60)^-G103</f>
        <v>#DIV/0!</v>
      </c>
      <c r="H106" s="365"/>
      <c r="I106" s="362"/>
      <c r="J106" s="362"/>
      <c r="K106" s="362"/>
      <c r="L106" s="362"/>
      <c r="M106" s="362"/>
      <c r="N106" s="362"/>
      <c r="O106" s="362"/>
    </row>
    <row r="107" spans="1:15" ht="15.5" x14ac:dyDescent="0.35">
      <c r="A107" s="362"/>
      <c r="B107" s="362"/>
      <c r="C107" s="362"/>
      <c r="D107" s="1709" t="s">
        <v>512</v>
      </c>
      <c r="E107" s="1709"/>
      <c r="F107" s="1709"/>
      <c r="G107" s="515" t="e">
        <f>(1+$G$60)^-G104</f>
        <v>#DIV/0!</v>
      </c>
      <c r="H107" s="365"/>
      <c r="I107" s="362"/>
      <c r="J107" s="362"/>
      <c r="K107" s="362"/>
      <c r="L107" s="362"/>
      <c r="M107" s="362"/>
      <c r="N107" s="362"/>
      <c r="O107" s="362"/>
    </row>
    <row r="108" spans="1:15" ht="15" x14ac:dyDescent="0.35">
      <c r="A108" s="362"/>
      <c r="B108" s="514"/>
      <c r="C108" s="514"/>
      <c r="D108" s="1709" t="s">
        <v>513</v>
      </c>
      <c r="E108" s="1709"/>
      <c r="F108" s="1709"/>
      <c r="G108" s="515" t="e">
        <f>PV($G$60,G104,-1)</f>
        <v>#DIV/0!</v>
      </c>
      <c r="H108" s="365"/>
      <c r="I108" s="362"/>
      <c r="J108" s="362"/>
      <c r="K108" s="362"/>
      <c r="L108" s="362"/>
      <c r="M108" s="362"/>
      <c r="N108" s="362"/>
      <c r="O108" s="362"/>
    </row>
    <row r="109" spans="1:15" ht="15" x14ac:dyDescent="0.35">
      <c r="A109" s="362"/>
      <c r="B109" s="362"/>
      <c r="C109" s="362"/>
      <c r="D109" s="1709" t="s">
        <v>514</v>
      </c>
      <c r="E109" s="1709"/>
      <c r="F109" s="1709"/>
      <c r="G109" s="515" t="e">
        <f>PV($G$60,G104-1,-1)</f>
        <v>#DIV/0!</v>
      </c>
      <c r="H109" s="365"/>
      <c r="I109" s="362"/>
      <c r="J109" s="362"/>
      <c r="K109" s="362"/>
      <c r="L109" s="362"/>
      <c r="M109" s="362"/>
      <c r="N109" s="362"/>
      <c r="O109" s="362"/>
    </row>
    <row r="110" spans="1:15" x14ac:dyDescent="0.35">
      <c r="A110" s="362" t="s">
        <v>515</v>
      </c>
      <c r="B110" s="463" t="e">
        <f ca="1">$B$61*$F$35</f>
        <v>#DIV/0!</v>
      </c>
      <c r="C110" s="362"/>
      <c r="D110" s="1690" t="s">
        <v>515</v>
      </c>
      <c r="E110" s="1690"/>
      <c r="F110" s="1690"/>
      <c r="G110" s="463" t="e">
        <f ca="1">$G$61*$F$35</f>
        <v>#DIV/0!</v>
      </c>
      <c r="H110" s="365"/>
      <c r="I110" s="362"/>
      <c r="J110" s="362"/>
      <c r="K110" s="362"/>
      <c r="L110" s="362"/>
      <c r="M110" s="362"/>
      <c r="N110" s="362"/>
      <c r="O110" s="362"/>
    </row>
    <row r="111" spans="1:15" ht="15" x14ac:dyDescent="0.35">
      <c r="A111" s="362" t="s">
        <v>516</v>
      </c>
      <c r="B111" s="463" t="e">
        <f ca="1">PV($B$60,B102,-B110)</f>
        <v>#DIV/0!</v>
      </c>
      <c r="C111" s="362"/>
      <c r="D111" s="1709" t="s">
        <v>517</v>
      </c>
      <c r="E111" s="1709"/>
      <c r="F111" s="1709"/>
      <c r="G111" s="463" t="e">
        <f ca="1">PV($G$60,G102,-G110)</f>
        <v>#DIV/0!</v>
      </c>
      <c r="H111" s="365"/>
      <c r="I111" s="362"/>
      <c r="J111" s="362"/>
      <c r="K111" s="362"/>
      <c r="L111" s="362"/>
      <c r="M111" s="362"/>
      <c r="N111" s="362"/>
      <c r="O111" s="362"/>
    </row>
    <row r="112" spans="1:15" x14ac:dyDescent="0.35">
      <c r="A112" s="362"/>
      <c r="B112" s="362"/>
      <c r="C112" s="362"/>
      <c r="D112" s="1709" t="s">
        <v>518</v>
      </c>
      <c r="E112" s="1709"/>
      <c r="F112" s="1709"/>
      <c r="G112" s="463" t="e">
        <f ca="1">$F$35/G104</f>
        <v>#DIV/0!</v>
      </c>
      <c r="H112" s="365"/>
      <c r="I112" s="362"/>
      <c r="J112" s="362"/>
      <c r="K112" s="362"/>
      <c r="L112" s="362"/>
      <c r="M112" s="362"/>
      <c r="N112" s="362"/>
      <c r="O112" s="362"/>
    </row>
    <row r="113" spans="1:15" x14ac:dyDescent="0.35">
      <c r="A113" s="362"/>
      <c r="B113" s="362"/>
      <c r="C113" s="362"/>
      <c r="D113" s="1709" t="s">
        <v>519</v>
      </c>
      <c r="E113" s="1709"/>
      <c r="F113" s="1709"/>
      <c r="G113" s="463" t="e">
        <f ca="1">$G$61*$F$35</f>
        <v>#DIV/0!</v>
      </c>
      <c r="H113" s="365"/>
      <c r="I113" s="362"/>
      <c r="J113" s="362"/>
      <c r="K113" s="362"/>
      <c r="L113" s="362"/>
      <c r="M113" s="362"/>
      <c r="N113" s="362"/>
      <c r="O113" s="362"/>
    </row>
    <row r="114" spans="1:15" x14ac:dyDescent="0.35">
      <c r="A114" s="362"/>
      <c r="B114" s="362"/>
      <c r="C114" s="362"/>
      <c r="D114" s="1709" t="s">
        <v>520</v>
      </c>
      <c r="E114" s="1709"/>
      <c r="F114" s="1709"/>
      <c r="G114" s="463" t="e">
        <f ca="1">G112+G113</f>
        <v>#DIV/0!</v>
      </c>
      <c r="H114" s="365"/>
      <c r="I114" s="362"/>
      <c r="J114" s="362"/>
      <c r="K114" s="362"/>
      <c r="L114" s="362"/>
      <c r="M114" s="362"/>
      <c r="N114" s="362"/>
      <c r="O114" s="362"/>
    </row>
    <row r="115" spans="1:15" x14ac:dyDescent="0.35">
      <c r="A115" s="442" t="s">
        <v>521</v>
      </c>
      <c r="B115" s="463" t="e">
        <f ca="1">PMT($B$61,B104,-$F$35)</f>
        <v>#DIV/0!</v>
      </c>
      <c r="C115" s="362"/>
      <c r="D115" s="1709" t="s">
        <v>522</v>
      </c>
      <c r="E115" s="1709"/>
      <c r="F115" s="1709"/>
      <c r="G115" s="463" t="e">
        <f ca="1">-G112*$G$61</f>
        <v>#DIV/0!</v>
      </c>
      <c r="H115" s="365"/>
      <c r="I115" s="362"/>
      <c r="J115" s="362"/>
      <c r="K115" s="362"/>
      <c r="L115" s="362"/>
      <c r="M115" s="362"/>
      <c r="N115" s="362"/>
      <c r="O115" s="362"/>
    </row>
    <row r="116" spans="1:15" ht="15" x14ac:dyDescent="0.35">
      <c r="A116" s="442" t="s">
        <v>523</v>
      </c>
      <c r="B116" s="463" t="e">
        <f ca="1">PV($B$60,B104,-B115)*B105</f>
        <v>#DIV/0!</v>
      </c>
      <c r="C116" s="362"/>
      <c r="D116" s="1709" t="s">
        <v>524</v>
      </c>
      <c r="E116" s="1709"/>
      <c r="F116" s="1709"/>
      <c r="G116" s="463" t="e">
        <f ca="1">(G114*G108+G115*(G109-(G104-1)*G107)/$G$60)*G105</f>
        <v>#DIV/0!</v>
      </c>
      <c r="H116" s="365"/>
      <c r="I116" s="362"/>
      <c r="J116" s="362"/>
      <c r="K116" s="362"/>
      <c r="L116" s="362"/>
      <c r="M116" s="362"/>
      <c r="N116" s="362"/>
      <c r="O116" s="362"/>
    </row>
    <row r="117" spans="1:15" ht="15" thickBot="1" x14ac:dyDescent="0.4">
      <c r="A117" s="442" t="s">
        <v>525</v>
      </c>
      <c r="B117" s="463" t="e">
        <f ca="1">B111+B116</f>
        <v>#DIV/0!</v>
      </c>
      <c r="C117" s="362"/>
      <c r="D117" s="1718" t="s">
        <v>526</v>
      </c>
      <c r="E117" s="1718"/>
      <c r="F117" s="1718"/>
      <c r="G117" s="463" t="e">
        <f ca="1">G111+G116</f>
        <v>#DIV/0!</v>
      </c>
      <c r="H117" s="365"/>
      <c r="I117" s="362"/>
      <c r="J117" s="362"/>
      <c r="K117" s="362"/>
      <c r="L117" s="362"/>
      <c r="M117" s="362"/>
      <c r="N117" s="362"/>
      <c r="O117" s="362"/>
    </row>
    <row r="118" spans="1:15" ht="16.5" thickTop="1" thickBot="1" x14ac:dyDescent="0.4">
      <c r="A118" s="517" t="s">
        <v>527</v>
      </c>
      <c r="B118" s="518">
        <f>IF(B104&lt;=0,0,($F$35-B117)*B106)</f>
        <v>0</v>
      </c>
      <c r="C118" s="362"/>
      <c r="D118" s="1719" t="s">
        <v>527</v>
      </c>
      <c r="E118" s="1720"/>
      <c r="F118" s="1720"/>
      <c r="G118" s="518">
        <f>IF(G104&lt;=0,0,($F$35-G117)*G106)</f>
        <v>0</v>
      </c>
      <c r="H118" s="365"/>
      <c r="I118" s="362"/>
      <c r="J118" s="362"/>
      <c r="K118" s="362"/>
      <c r="L118" s="362"/>
      <c r="M118" s="362"/>
      <c r="N118" s="362"/>
      <c r="O118" s="362"/>
    </row>
    <row r="119" spans="1:15" ht="15" thickTop="1" x14ac:dyDescent="0.35">
      <c r="A119" s="362"/>
      <c r="B119" s="362"/>
      <c r="C119" s="362"/>
      <c r="D119" s="362"/>
      <c r="E119" s="362"/>
      <c r="F119" s="362"/>
      <c r="G119" s="362"/>
      <c r="H119" s="365"/>
      <c r="I119" s="362"/>
      <c r="J119" s="362"/>
      <c r="K119" s="362"/>
      <c r="L119" s="362"/>
      <c r="M119" s="362"/>
      <c r="N119" s="362"/>
      <c r="O119" s="362"/>
    </row>
    <row r="120" spans="1:15" x14ac:dyDescent="0.35">
      <c r="A120" s="511" t="s">
        <v>533</v>
      </c>
      <c r="B120" s="512" t="e">
        <f ca="1">$G$35</f>
        <v>#DIV/0!</v>
      </c>
      <c r="C120" s="362"/>
      <c r="D120" s="1707" t="s">
        <v>533</v>
      </c>
      <c r="E120" s="1708"/>
      <c r="F120" s="1708"/>
      <c r="G120" s="512" t="e">
        <f ca="1">$G$35</f>
        <v>#DIV/0!</v>
      </c>
      <c r="H120" s="365"/>
      <c r="I120" s="362"/>
      <c r="J120" s="362"/>
      <c r="K120" s="362"/>
      <c r="L120" s="362"/>
      <c r="M120" s="362"/>
      <c r="N120" s="362"/>
      <c r="O120" s="362"/>
    </row>
    <row r="121" spans="1:15" x14ac:dyDescent="0.35">
      <c r="A121" s="362" t="s">
        <v>505</v>
      </c>
      <c r="B121" s="510">
        <f>IF($D$10*$D$11-3*$D$11&gt;0,$D$10*$D$11-3*$D$11,0)</f>
        <v>0</v>
      </c>
      <c r="C121" s="362"/>
      <c r="D121" s="1690" t="s">
        <v>505</v>
      </c>
      <c r="E121" s="1690"/>
      <c r="F121" s="1690"/>
      <c r="G121" s="510">
        <f>IF($D$10*$D$11-3*$D$11&gt;0,$D$10*$D$11-3*$D$11,0)</f>
        <v>0</v>
      </c>
      <c r="H121" s="365"/>
      <c r="I121" s="362"/>
      <c r="J121" s="362"/>
      <c r="K121" s="362"/>
      <c r="L121" s="362"/>
      <c r="M121" s="362"/>
      <c r="N121" s="362"/>
      <c r="O121" s="362"/>
    </row>
    <row r="122" spans="1:15" x14ac:dyDescent="0.35">
      <c r="A122" s="362" t="s">
        <v>506</v>
      </c>
      <c r="B122" s="510">
        <f>($G$26-$D$26)*$D$11</f>
        <v>0</v>
      </c>
      <c r="C122" s="362"/>
      <c r="D122" s="1690" t="s">
        <v>506</v>
      </c>
      <c r="E122" s="1690"/>
      <c r="F122" s="1690"/>
      <c r="G122" s="510">
        <f>($G$26-$D$26)*$D$11</f>
        <v>0</v>
      </c>
      <c r="H122" s="365"/>
      <c r="I122" s="362"/>
      <c r="J122" s="362"/>
      <c r="K122" s="362"/>
      <c r="L122" s="362"/>
      <c r="M122" s="362"/>
      <c r="N122" s="362"/>
      <c r="O122" s="362"/>
    </row>
    <row r="123" spans="1:15" x14ac:dyDescent="0.35">
      <c r="A123" s="362" t="s">
        <v>507</v>
      </c>
      <c r="B123" s="513">
        <f>$B$62*$D$11-B121-B122</f>
        <v>0</v>
      </c>
      <c r="C123" s="362"/>
      <c r="D123" s="1690" t="s">
        <v>507</v>
      </c>
      <c r="E123" s="1690"/>
      <c r="F123" s="1690"/>
      <c r="G123" s="513">
        <f>$G$62*$D$11-G121-G122</f>
        <v>0</v>
      </c>
      <c r="H123" s="365"/>
      <c r="I123" s="362"/>
      <c r="J123" s="362"/>
      <c r="K123" s="362"/>
      <c r="L123" s="362"/>
      <c r="M123" s="362"/>
      <c r="N123" s="362"/>
      <c r="O123" s="362"/>
    </row>
    <row r="124" spans="1:15" ht="15.5" x14ac:dyDescent="0.35">
      <c r="A124" s="362" t="s">
        <v>530</v>
      </c>
      <c r="B124" s="516" t="e">
        <f>(1+$B$60)^-B121</f>
        <v>#DIV/0!</v>
      </c>
      <c r="C124" s="362"/>
      <c r="D124" s="1709" t="s">
        <v>509</v>
      </c>
      <c r="E124" s="1709"/>
      <c r="F124" s="1709"/>
      <c r="G124" s="515" t="e">
        <f>(1+$G$60)^-G121</f>
        <v>#DIV/0!</v>
      </c>
      <c r="H124" s="365"/>
      <c r="I124" s="362"/>
      <c r="J124" s="362"/>
      <c r="K124" s="362"/>
      <c r="L124" s="362"/>
      <c r="M124" s="362"/>
      <c r="N124" s="362"/>
      <c r="O124" s="362"/>
    </row>
    <row r="125" spans="1:15" ht="15.5" x14ac:dyDescent="0.35">
      <c r="A125" s="362" t="s">
        <v>510</v>
      </c>
      <c r="B125" s="516" t="e">
        <f>(1+$B$60)^-B122</f>
        <v>#DIV/0!</v>
      </c>
      <c r="C125" s="362"/>
      <c r="D125" s="1690" t="s">
        <v>511</v>
      </c>
      <c r="E125" s="1690"/>
      <c r="F125" s="1690"/>
      <c r="G125" s="515" t="e">
        <f>(1+$G$60)^-G122</f>
        <v>#DIV/0!</v>
      </c>
      <c r="H125" s="365"/>
      <c r="I125" s="362"/>
      <c r="J125" s="362"/>
      <c r="K125" s="362"/>
      <c r="L125" s="362"/>
      <c r="M125" s="362"/>
      <c r="N125" s="362"/>
      <c r="O125" s="362"/>
    </row>
    <row r="126" spans="1:15" ht="15.5" x14ac:dyDescent="0.35">
      <c r="A126" s="362"/>
      <c r="B126" s="514"/>
      <c r="C126" s="514"/>
      <c r="D126" s="1709" t="s">
        <v>512</v>
      </c>
      <c r="E126" s="1709"/>
      <c r="F126" s="1709"/>
      <c r="G126" s="515" t="e">
        <f>(1+$G$60)^-G123</f>
        <v>#DIV/0!</v>
      </c>
      <c r="H126" s="365"/>
      <c r="I126" s="362"/>
      <c r="J126" s="362"/>
      <c r="K126" s="362"/>
      <c r="L126" s="362"/>
      <c r="M126" s="362"/>
      <c r="N126" s="362"/>
      <c r="O126" s="362"/>
    </row>
    <row r="127" spans="1:15" ht="15" x14ac:dyDescent="0.35">
      <c r="A127" s="362"/>
      <c r="B127" s="362"/>
      <c r="C127" s="362"/>
      <c r="D127" s="1709" t="s">
        <v>513</v>
      </c>
      <c r="E127" s="1709"/>
      <c r="F127" s="1709"/>
      <c r="G127" s="515" t="e">
        <f>PV($G$60,G123,-1)</f>
        <v>#DIV/0!</v>
      </c>
      <c r="H127" s="365"/>
      <c r="I127" s="362"/>
      <c r="J127" s="362"/>
      <c r="K127" s="362"/>
      <c r="L127" s="362"/>
      <c r="M127" s="362"/>
      <c r="N127" s="362"/>
      <c r="O127" s="362"/>
    </row>
    <row r="128" spans="1:15" ht="15" x14ac:dyDescent="0.35">
      <c r="A128" s="362"/>
      <c r="B128" s="362"/>
      <c r="C128" s="362"/>
      <c r="D128" s="1709" t="s">
        <v>514</v>
      </c>
      <c r="E128" s="1709"/>
      <c r="F128" s="1709"/>
      <c r="G128" s="515" t="e">
        <f>PV($G$60,G123-1,-1)</f>
        <v>#DIV/0!</v>
      </c>
      <c r="H128" s="365"/>
      <c r="I128" s="362"/>
      <c r="J128" s="362"/>
      <c r="K128" s="362"/>
      <c r="L128" s="362"/>
      <c r="M128" s="362"/>
      <c r="N128" s="362"/>
      <c r="O128" s="362"/>
    </row>
    <row r="129" spans="1:15" x14ac:dyDescent="0.35">
      <c r="A129" s="362" t="s">
        <v>515</v>
      </c>
      <c r="B129" s="463" t="e">
        <f ca="1">$B$61*$G$35</f>
        <v>#DIV/0!</v>
      </c>
      <c r="C129" s="362"/>
      <c r="D129" s="1690" t="s">
        <v>515</v>
      </c>
      <c r="E129" s="1690"/>
      <c r="F129" s="1690"/>
      <c r="G129" s="463" t="e">
        <f ca="1">$G$61*$G$35</f>
        <v>#DIV/0!</v>
      </c>
      <c r="H129" s="365"/>
      <c r="I129" s="362"/>
      <c r="J129" s="362"/>
      <c r="K129" s="362"/>
      <c r="L129" s="362"/>
      <c r="M129" s="362"/>
      <c r="N129" s="362"/>
      <c r="O129" s="362"/>
    </row>
    <row r="130" spans="1:15" ht="15" x14ac:dyDescent="0.35">
      <c r="A130" s="362" t="s">
        <v>516</v>
      </c>
      <c r="B130" s="463" t="e">
        <f ca="1">PV($B$60,B121,-B129)</f>
        <v>#DIV/0!</v>
      </c>
      <c r="C130" s="362"/>
      <c r="D130" s="1709" t="s">
        <v>517</v>
      </c>
      <c r="E130" s="1709"/>
      <c r="F130" s="1709"/>
      <c r="G130" s="463" t="e">
        <f ca="1">PV($G$60,G121,-G129)</f>
        <v>#DIV/0!</v>
      </c>
      <c r="H130" s="365"/>
      <c r="I130" s="362"/>
      <c r="J130" s="362"/>
      <c r="K130" s="362"/>
      <c r="L130" s="362"/>
      <c r="M130" s="362"/>
      <c r="N130" s="362"/>
      <c r="O130" s="362"/>
    </row>
    <row r="131" spans="1:15" x14ac:dyDescent="0.35">
      <c r="A131" s="362"/>
      <c r="B131" s="362"/>
      <c r="C131" s="362"/>
      <c r="D131" s="1709" t="s">
        <v>518</v>
      </c>
      <c r="E131" s="1709"/>
      <c r="F131" s="1709"/>
      <c r="G131" s="463" t="e">
        <f ca="1">$G$35/G123</f>
        <v>#DIV/0!</v>
      </c>
      <c r="H131" s="365"/>
      <c r="I131" s="362"/>
      <c r="J131" s="362"/>
      <c r="K131" s="362"/>
      <c r="L131" s="362"/>
      <c r="M131" s="362"/>
      <c r="N131" s="362"/>
      <c r="O131" s="362"/>
    </row>
    <row r="132" spans="1:15" x14ac:dyDescent="0.35">
      <c r="A132" s="362"/>
      <c r="B132" s="362"/>
      <c r="C132" s="362"/>
      <c r="D132" s="1709" t="s">
        <v>519</v>
      </c>
      <c r="E132" s="1709"/>
      <c r="F132" s="1709"/>
      <c r="G132" s="463" t="e">
        <f ca="1">$G$61*$G$35</f>
        <v>#DIV/0!</v>
      </c>
      <c r="H132" s="365"/>
      <c r="I132" s="362"/>
      <c r="J132" s="362"/>
      <c r="K132" s="362"/>
      <c r="L132" s="362"/>
      <c r="M132" s="362"/>
      <c r="N132" s="362"/>
      <c r="O132" s="362"/>
    </row>
    <row r="133" spans="1:15" x14ac:dyDescent="0.35">
      <c r="A133" s="362"/>
      <c r="B133" s="362"/>
      <c r="C133" s="362"/>
      <c r="D133" s="1709" t="s">
        <v>520</v>
      </c>
      <c r="E133" s="1709"/>
      <c r="F133" s="1709"/>
      <c r="G133" s="463" t="e">
        <f ca="1">G131+G132</f>
        <v>#DIV/0!</v>
      </c>
      <c r="H133" s="365"/>
      <c r="I133" s="362"/>
      <c r="J133" s="362"/>
      <c r="K133" s="362"/>
      <c r="L133" s="362"/>
      <c r="M133" s="362"/>
      <c r="N133" s="362"/>
      <c r="O133" s="362"/>
    </row>
    <row r="134" spans="1:15" x14ac:dyDescent="0.35">
      <c r="A134" s="442" t="s">
        <v>521</v>
      </c>
      <c r="B134" s="463" t="e">
        <f ca="1">PMT($B$61,B123,-$G$35)</f>
        <v>#DIV/0!</v>
      </c>
      <c r="C134" s="362"/>
      <c r="D134" s="1709" t="s">
        <v>522</v>
      </c>
      <c r="E134" s="1709"/>
      <c r="F134" s="1709"/>
      <c r="G134" s="463" t="e">
        <f ca="1">-G131*$G$61</f>
        <v>#DIV/0!</v>
      </c>
      <c r="H134" s="365"/>
      <c r="I134" s="362"/>
      <c r="J134" s="362"/>
      <c r="K134" s="362"/>
      <c r="L134" s="362"/>
      <c r="M134" s="362"/>
      <c r="N134" s="362"/>
      <c r="O134" s="362"/>
    </row>
    <row r="135" spans="1:15" ht="15" x14ac:dyDescent="0.35">
      <c r="A135" s="442" t="s">
        <v>523</v>
      </c>
      <c r="B135" s="463" t="e">
        <f ca="1">PV($B$60,B123,-B134)*B124</f>
        <v>#DIV/0!</v>
      </c>
      <c r="C135" s="362"/>
      <c r="D135" s="1709" t="s">
        <v>524</v>
      </c>
      <c r="E135" s="1709"/>
      <c r="F135" s="1709"/>
      <c r="G135" s="463" t="e">
        <f ca="1">(G133*G127+G134*(G128-(G123-1)*G126)/$G$60)*G124</f>
        <v>#DIV/0!</v>
      </c>
      <c r="H135" s="365"/>
      <c r="I135" s="362"/>
      <c r="J135" s="362"/>
      <c r="K135" s="362"/>
      <c r="L135" s="362"/>
      <c r="M135" s="362"/>
      <c r="N135" s="362"/>
      <c r="O135" s="362"/>
    </row>
    <row r="136" spans="1:15" ht="15" thickBot="1" x14ac:dyDescent="0.4">
      <c r="A136" s="442" t="s">
        <v>525</v>
      </c>
      <c r="B136" s="463" t="e">
        <f ca="1">B130+B135</f>
        <v>#DIV/0!</v>
      </c>
      <c r="C136" s="362"/>
      <c r="D136" s="1718" t="s">
        <v>526</v>
      </c>
      <c r="E136" s="1718"/>
      <c r="F136" s="1718"/>
      <c r="G136" s="463" t="e">
        <f ca="1">G130+G135</f>
        <v>#DIV/0!</v>
      </c>
      <c r="H136" s="365"/>
      <c r="I136" s="362"/>
      <c r="J136" s="362"/>
      <c r="K136" s="362"/>
      <c r="L136" s="362"/>
      <c r="M136" s="362"/>
      <c r="N136" s="362"/>
      <c r="O136" s="362"/>
    </row>
    <row r="137" spans="1:15" ht="16.5" thickTop="1" thickBot="1" x14ac:dyDescent="0.4">
      <c r="A137" s="517" t="s">
        <v>527</v>
      </c>
      <c r="B137" s="518">
        <f>IF(B123&lt;=0,0,($G$35-B136)*B125)</f>
        <v>0</v>
      </c>
      <c r="C137" s="362"/>
      <c r="D137" s="1719" t="s">
        <v>527</v>
      </c>
      <c r="E137" s="1720"/>
      <c r="F137" s="1720"/>
      <c r="G137" s="518">
        <f>IF(G123&lt;=0,0,($G$35-G136)*G125)</f>
        <v>0</v>
      </c>
      <c r="H137" s="365"/>
      <c r="I137" s="362"/>
      <c r="J137" s="362"/>
      <c r="K137" s="362"/>
      <c r="L137" s="362"/>
      <c r="M137" s="362"/>
      <c r="N137" s="362"/>
      <c r="O137" s="362"/>
    </row>
    <row r="138" spans="1:15" ht="15" thickTop="1" x14ac:dyDescent="0.35">
      <c r="A138" s="362"/>
      <c r="B138" s="362"/>
      <c r="C138" s="362"/>
      <c r="D138" s="442"/>
      <c r="E138" s="442"/>
      <c r="F138" s="442"/>
      <c r="G138" s="526"/>
      <c r="H138" s="365"/>
      <c r="I138" s="362"/>
      <c r="J138" s="362"/>
      <c r="K138" s="362"/>
      <c r="L138" s="362"/>
      <c r="M138" s="362"/>
      <c r="N138" s="362"/>
      <c r="O138" s="362"/>
    </row>
    <row r="139" spans="1:15" x14ac:dyDescent="0.35">
      <c r="A139" s="511" t="s">
        <v>534</v>
      </c>
      <c r="B139" s="512" t="e">
        <f ca="1">$H$35</f>
        <v>#DIV/0!</v>
      </c>
      <c r="C139" s="362"/>
      <c r="D139" s="1707" t="s">
        <v>534</v>
      </c>
      <c r="E139" s="1708"/>
      <c r="F139" s="1708"/>
      <c r="G139" s="512" t="e">
        <f ca="1">$H$35</f>
        <v>#DIV/0!</v>
      </c>
      <c r="H139" s="365"/>
      <c r="I139" s="362"/>
      <c r="J139" s="362"/>
      <c r="K139" s="362"/>
      <c r="L139" s="362"/>
      <c r="M139" s="362"/>
      <c r="N139" s="362"/>
      <c r="O139" s="362"/>
    </row>
    <row r="140" spans="1:15" x14ac:dyDescent="0.35">
      <c r="A140" s="362" t="s">
        <v>505</v>
      </c>
      <c r="B140" s="510">
        <f>IF($D$10*$D$11-4*$D$11&gt;0,$D$10*$D$11-4*$D$11,0)</f>
        <v>0</v>
      </c>
      <c r="C140" s="362"/>
      <c r="D140" s="1690" t="s">
        <v>505</v>
      </c>
      <c r="E140" s="1690"/>
      <c r="F140" s="1690"/>
      <c r="G140" s="510">
        <f>IF($D$10*$D$11-4*$D$11&gt;0,$D$10*$D$11-4*$D$11,0)</f>
        <v>0</v>
      </c>
      <c r="H140" s="365"/>
      <c r="I140" s="362"/>
      <c r="J140" s="362"/>
      <c r="K140" s="362"/>
      <c r="L140" s="362"/>
      <c r="M140" s="362"/>
      <c r="N140" s="362"/>
      <c r="O140" s="362"/>
    </row>
    <row r="141" spans="1:15" x14ac:dyDescent="0.35">
      <c r="A141" s="362" t="s">
        <v>506</v>
      </c>
      <c r="B141" s="510">
        <f>($H$26-$D$26)*$D$11</f>
        <v>0</v>
      </c>
      <c r="C141" s="362"/>
      <c r="D141" s="1690" t="s">
        <v>506</v>
      </c>
      <c r="E141" s="1690"/>
      <c r="F141" s="1690"/>
      <c r="G141" s="510">
        <f>($H$26-$D$26)*$D$11</f>
        <v>0</v>
      </c>
      <c r="H141" s="365"/>
      <c r="I141" s="362"/>
      <c r="J141" s="362"/>
      <c r="K141" s="362"/>
      <c r="L141" s="362"/>
      <c r="M141" s="362"/>
      <c r="N141" s="362"/>
      <c r="O141" s="362"/>
    </row>
    <row r="142" spans="1:15" x14ac:dyDescent="0.35">
      <c r="A142" s="362" t="s">
        <v>507</v>
      </c>
      <c r="B142" s="513">
        <f>$B$62*$D$11-B140-B141</f>
        <v>0</v>
      </c>
      <c r="C142" s="362"/>
      <c r="D142" s="1690" t="s">
        <v>507</v>
      </c>
      <c r="E142" s="1690"/>
      <c r="F142" s="1690"/>
      <c r="G142" s="513">
        <f>$G$62*$D$11-G140-G141</f>
        <v>0</v>
      </c>
      <c r="H142" s="365"/>
      <c r="I142" s="362"/>
      <c r="J142" s="362"/>
      <c r="K142" s="362"/>
      <c r="L142" s="362"/>
      <c r="M142" s="362"/>
      <c r="N142" s="362"/>
      <c r="O142" s="362"/>
    </row>
    <row r="143" spans="1:15" ht="15.5" x14ac:dyDescent="0.35">
      <c r="A143" s="362" t="s">
        <v>508</v>
      </c>
      <c r="B143" s="516" t="e">
        <f>(1+$B$60)^-B140</f>
        <v>#DIV/0!</v>
      </c>
      <c r="C143" s="362"/>
      <c r="D143" s="1709" t="s">
        <v>509</v>
      </c>
      <c r="E143" s="1709"/>
      <c r="F143" s="1709"/>
      <c r="G143" s="515" t="e">
        <f>(1+$G$60)^-G140</f>
        <v>#DIV/0!</v>
      </c>
      <c r="H143" s="365"/>
      <c r="I143" s="362"/>
      <c r="J143" s="362"/>
      <c r="K143" s="362"/>
      <c r="L143" s="362"/>
      <c r="M143" s="362"/>
      <c r="N143" s="362"/>
      <c r="O143" s="362"/>
    </row>
    <row r="144" spans="1:15" ht="15.5" x14ac:dyDescent="0.35">
      <c r="A144" s="362" t="s">
        <v>510</v>
      </c>
      <c r="B144" s="516" t="e">
        <f>(1+$B$60)^-B141</f>
        <v>#DIV/0!</v>
      </c>
      <c r="C144" s="362"/>
      <c r="D144" s="1690" t="s">
        <v>511</v>
      </c>
      <c r="E144" s="1690"/>
      <c r="F144" s="1690"/>
      <c r="G144" s="519" t="e">
        <f>(1+$G$60)^-G141</f>
        <v>#DIV/0!</v>
      </c>
      <c r="H144" s="365"/>
      <c r="I144" s="362"/>
      <c r="J144" s="362"/>
      <c r="K144" s="362"/>
      <c r="L144" s="362"/>
      <c r="M144" s="362"/>
      <c r="N144" s="362"/>
      <c r="O144" s="362"/>
    </row>
    <row r="145" spans="1:15" ht="15.5" x14ac:dyDescent="0.35">
      <c r="A145" s="362"/>
      <c r="B145" s="362"/>
      <c r="C145" s="362"/>
      <c r="D145" s="1709" t="s">
        <v>512</v>
      </c>
      <c r="E145" s="1709"/>
      <c r="F145" s="1709"/>
      <c r="G145" s="515" t="e">
        <f>(1+$G$60)^-G142</f>
        <v>#DIV/0!</v>
      </c>
      <c r="H145" s="365"/>
      <c r="I145" s="362"/>
      <c r="J145" s="362"/>
      <c r="K145" s="362"/>
      <c r="L145" s="362"/>
      <c r="M145" s="362"/>
      <c r="N145" s="362"/>
      <c r="O145" s="362"/>
    </row>
    <row r="146" spans="1:15" ht="15" x14ac:dyDescent="0.35">
      <c r="A146" s="362"/>
      <c r="B146" s="362"/>
      <c r="C146" s="362"/>
      <c r="D146" s="1709" t="s">
        <v>513</v>
      </c>
      <c r="E146" s="1709"/>
      <c r="F146" s="1709"/>
      <c r="G146" s="515" t="e">
        <f>PV($G$60,G142,-1)</f>
        <v>#DIV/0!</v>
      </c>
      <c r="H146" s="365"/>
      <c r="I146" s="362"/>
      <c r="J146" s="362"/>
      <c r="K146" s="362"/>
      <c r="L146" s="362"/>
      <c r="M146" s="362"/>
      <c r="N146" s="362"/>
      <c r="O146" s="362"/>
    </row>
    <row r="147" spans="1:15" ht="15" x14ac:dyDescent="0.35">
      <c r="A147" s="362"/>
      <c r="B147" s="362"/>
      <c r="C147" s="362"/>
      <c r="D147" s="1709" t="s">
        <v>514</v>
      </c>
      <c r="E147" s="1709"/>
      <c r="F147" s="1709"/>
      <c r="G147" s="515" t="e">
        <f>PV($G$60,G142-1,-1)</f>
        <v>#DIV/0!</v>
      </c>
      <c r="H147" s="365"/>
      <c r="I147" s="362"/>
      <c r="J147" s="362"/>
      <c r="K147" s="362"/>
      <c r="L147" s="362"/>
      <c r="M147" s="362"/>
      <c r="N147" s="362"/>
      <c r="O147" s="362"/>
    </row>
    <row r="148" spans="1:15" x14ac:dyDescent="0.35">
      <c r="A148" s="362" t="s">
        <v>515</v>
      </c>
      <c r="B148" s="463" t="e">
        <f ca="1">$B$61*$H$35</f>
        <v>#DIV/0!</v>
      </c>
      <c r="C148" s="362"/>
      <c r="D148" s="1690" t="s">
        <v>515</v>
      </c>
      <c r="E148" s="1690"/>
      <c r="F148" s="1690"/>
      <c r="G148" s="463" t="e">
        <f ca="1">$G$61*$H$35</f>
        <v>#DIV/0!</v>
      </c>
      <c r="H148" s="365"/>
      <c r="I148" s="362"/>
      <c r="J148" s="362"/>
      <c r="K148" s="362"/>
      <c r="L148" s="362"/>
      <c r="M148" s="362"/>
      <c r="N148" s="362"/>
      <c r="O148" s="362"/>
    </row>
    <row r="149" spans="1:15" ht="15" x14ac:dyDescent="0.35">
      <c r="A149" s="362" t="s">
        <v>516</v>
      </c>
      <c r="B149" s="463" t="e">
        <f ca="1">PV($B$60,B140,-B148)</f>
        <v>#DIV/0!</v>
      </c>
      <c r="C149" s="362"/>
      <c r="D149" s="1709" t="s">
        <v>517</v>
      </c>
      <c r="E149" s="1709"/>
      <c r="F149" s="1709"/>
      <c r="G149" s="463" t="e">
        <f ca="1">PV($G$60,G140,-G148)</f>
        <v>#DIV/0!</v>
      </c>
      <c r="H149" s="365"/>
      <c r="I149" s="362"/>
      <c r="J149" s="362"/>
      <c r="K149" s="362"/>
      <c r="L149" s="362"/>
      <c r="M149" s="362"/>
      <c r="N149" s="362"/>
      <c r="O149" s="362"/>
    </row>
    <row r="150" spans="1:15" x14ac:dyDescent="0.35">
      <c r="A150" s="362"/>
      <c r="B150" s="362"/>
      <c r="C150" s="362"/>
      <c r="D150" s="1709" t="s">
        <v>518</v>
      </c>
      <c r="E150" s="1709"/>
      <c r="F150" s="1709"/>
      <c r="G150" s="463" t="e">
        <f ca="1">$H$35/G142</f>
        <v>#DIV/0!</v>
      </c>
      <c r="H150" s="365"/>
      <c r="I150" s="362"/>
      <c r="J150" s="362"/>
      <c r="K150" s="362"/>
      <c r="L150" s="362"/>
      <c r="M150" s="362"/>
      <c r="N150" s="362"/>
      <c r="O150" s="362"/>
    </row>
    <row r="151" spans="1:15" x14ac:dyDescent="0.35">
      <c r="A151" s="362"/>
      <c r="B151" s="362"/>
      <c r="C151" s="362"/>
      <c r="D151" s="1709" t="s">
        <v>519</v>
      </c>
      <c r="E151" s="1709"/>
      <c r="F151" s="1709"/>
      <c r="G151" s="463" t="e">
        <f ca="1">$G$61*$H$35</f>
        <v>#DIV/0!</v>
      </c>
      <c r="H151" s="365"/>
      <c r="I151" s="362"/>
      <c r="J151" s="362"/>
      <c r="K151" s="362"/>
      <c r="L151" s="362"/>
      <c r="M151" s="362"/>
      <c r="N151" s="362"/>
      <c r="O151" s="362"/>
    </row>
    <row r="152" spans="1:15" x14ac:dyDescent="0.35">
      <c r="A152" s="362"/>
      <c r="B152" s="362"/>
      <c r="C152" s="362"/>
      <c r="D152" s="1709" t="s">
        <v>520</v>
      </c>
      <c r="E152" s="1709"/>
      <c r="F152" s="1709"/>
      <c r="G152" s="463" t="e">
        <f ca="1">G150+G151</f>
        <v>#DIV/0!</v>
      </c>
      <c r="H152" s="365"/>
      <c r="I152" s="362"/>
      <c r="J152" s="362"/>
      <c r="K152" s="362"/>
      <c r="L152" s="362"/>
      <c r="M152" s="362"/>
      <c r="N152" s="362"/>
      <c r="O152" s="362"/>
    </row>
    <row r="153" spans="1:15" x14ac:dyDescent="0.35">
      <c r="A153" s="442" t="s">
        <v>521</v>
      </c>
      <c r="B153" s="463" t="e">
        <f ca="1">PMT($B$61,B142,-$H$35)</f>
        <v>#DIV/0!</v>
      </c>
      <c r="C153" s="362"/>
      <c r="D153" s="1709" t="s">
        <v>522</v>
      </c>
      <c r="E153" s="1709"/>
      <c r="F153" s="1709"/>
      <c r="G153" s="463" t="e">
        <f ca="1">-G150*$G$61</f>
        <v>#DIV/0!</v>
      </c>
      <c r="H153" s="365"/>
      <c r="I153" s="362"/>
      <c r="J153" s="362"/>
      <c r="K153" s="362"/>
      <c r="L153" s="362"/>
      <c r="M153" s="362"/>
      <c r="N153" s="362"/>
      <c r="O153" s="362"/>
    </row>
    <row r="154" spans="1:15" ht="15" x14ac:dyDescent="0.35">
      <c r="A154" s="442" t="s">
        <v>523</v>
      </c>
      <c r="B154" s="463" t="e">
        <f ca="1">PV($B$60,B142,-B153)*B143</f>
        <v>#DIV/0!</v>
      </c>
      <c r="C154" s="362"/>
      <c r="D154" s="1709" t="s">
        <v>524</v>
      </c>
      <c r="E154" s="1709"/>
      <c r="F154" s="1709"/>
      <c r="G154" s="463" t="e">
        <f ca="1">(G152*G146+G153*(G147-(G142-1)*G145)/$G$60)*G143</f>
        <v>#DIV/0!</v>
      </c>
      <c r="H154" s="365"/>
      <c r="I154" s="362"/>
      <c r="J154" s="362"/>
      <c r="K154" s="362"/>
      <c r="L154" s="362"/>
      <c r="M154" s="362"/>
      <c r="N154" s="362"/>
      <c r="O154" s="362"/>
    </row>
    <row r="155" spans="1:15" ht="15" thickBot="1" x14ac:dyDescent="0.4">
      <c r="A155" s="442" t="s">
        <v>525</v>
      </c>
      <c r="B155" s="463" t="e">
        <f ca="1">B149+B154</f>
        <v>#DIV/0!</v>
      </c>
      <c r="C155" s="362"/>
      <c r="D155" s="1718" t="s">
        <v>526</v>
      </c>
      <c r="E155" s="1718"/>
      <c r="F155" s="1718"/>
      <c r="G155" s="463" t="e">
        <f ca="1">G149+G154</f>
        <v>#DIV/0!</v>
      </c>
      <c r="H155" s="365"/>
      <c r="I155" s="362"/>
      <c r="J155" s="362"/>
      <c r="K155" s="362"/>
      <c r="L155" s="362"/>
      <c r="M155" s="362"/>
      <c r="N155" s="362"/>
      <c r="O155" s="362"/>
    </row>
    <row r="156" spans="1:15" ht="16.5" thickTop="1" thickBot="1" x14ac:dyDescent="0.4">
      <c r="A156" s="517" t="s">
        <v>527</v>
      </c>
      <c r="B156" s="518">
        <f>IF(B142&lt;=0,0,($H$35-B155)*B144)</f>
        <v>0</v>
      </c>
      <c r="C156" s="362"/>
      <c r="D156" s="1719" t="s">
        <v>527</v>
      </c>
      <c r="E156" s="1720"/>
      <c r="F156" s="1720"/>
      <c r="G156" s="518">
        <f>IF(G142&lt;=0,0,($H$35-G155)*G144)</f>
        <v>0</v>
      </c>
      <c r="H156" s="365"/>
      <c r="I156" s="362"/>
      <c r="J156" s="362"/>
      <c r="K156" s="362"/>
      <c r="L156" s="362"/>
      <c r="M156" s="362"/>
      <c r="N156" s="362"/>
      <c r="O156" s="362"/>
    </row>
    <row r="157" spans="1:15" ht="15" thickTop="1" x14ac:dyDescent="0.35">
      <c r="A157" s="362"/>
      <c r="B157" s="362"/>
      <c r="C157" s="362"/>
      <c r="D157" s="442"/>
      <c r="E157" s="442"/>
      <c r="F157" s="442"/>
      <c r="G157" s="526"/>
      <c r="H157" s="365"/>
      <c r="I157" s="362"/>
      <c r="J157" s="362"/>
      <c r="K157" s="362"/>
      <c r="L157" s="362"/>
      <c r="M157" s="362"/>
      <c r="N157" s="362"/>
      <c r="O157" s="362"/>
    </row>
    <row r="158" spans="1:15" x14ac:dyDescent="0.35">
      <c r="A158" s="362"/>
      <c r="B158" s="362"/>
      <c r="C158" s="362"/>
      <c r="D158" s="442"/>
      <c r="E158" s="442"/>
      <c r="F158" s="442"/>
      <c r="G158" s="526"/>
      <c r="H158" s="365"/>
      <c r="I158" s="362"/>
      <c r="J158" s="362"/>
      <c r="K158" s="362"/>
      <c r="L158" s="362"/>
      <c r="M158" s="362"/>
      <c r="N158" s="362"/>
      <c r="O158" s="362"/>
    </row>
    <row r="159" spans="1:15" ht="15" x14ac:dyDescent="0.35">
      <c r="A159" s="527" t="s">
        <v>535</v>
      </c>
      <c r="B159" s="463"/>
      <c r="C159" s="362"/>
      <c r="D159" s="1723" t="s">
        <v>535</v>
      </c>
      <c r="E159" s="1724"/>
      <c r="F159" s="1725"/>
      <c r="G159" s="526"/>
      <c r="H159" s="365"/>
      <c r="I159" s="362"/>
      <c r="J159" s="362"/>
      <c r="K159" s="362"/>
      <c r="L159" s="362"/>
      <c r="M159" s="362"/>
      <c r="N159" s="362"/>
      <c r="O159" s="362"/>
    </row>
    <row r="160" spans="1:15" ht="15" x14ac:dyDescent="0.35">
      <c r="A160" s="508" t="s">
        <v>498</v>
      </c>
      <c r="B160" s="506"/>
      <c r="C160" s="362"/>
      <c r="D160" s="1714" t="s">
        <v>498</v>
      </c>
      <c r="E160" s="1715"/>
      <c r="F160" s="1716"/>
      <c r="G160" s="526"/>
      <c r="H160" s="365"/>
      <c r="I160" s="362"/>
      <c r="J160" s="362"/>
      <c r="K160" s="362"/>
      <c r="L160" s="362"/>
      <c r="M160" s="362"/>
      <c r="N160" s="362"/>
      <c r="O160" s="362"/>
    </row>
    <row r="161" spans="1:15" ht="15" x14ac:dyDescent="0.35">
      <c r="A161" s="362" t="s">
        <v>499</v>
      </c>
      <c r="B161" s="509" t="e">
        <f>((1+$D$19)^(1/$D$14))-1</f>
        <v>#DIV/0!</v>
      </c>
      <c r="C161" s="362"/>
      <c r="D161" s="1717" t="s">
        <v>500</v>
      </c>
      <c r="E161" s="1717"/>
      <c r="F161" s="1717"/>
      <c r="G161" s="509" t="e">
        <f>((1+$D$19)^(1/$D$14))-1</f>
        <v>#DIV/0!</v>
      </c>
      <c r="H161" s="365"/>
      <c r="I161" s="362"/>
      <c r="J161" s="362"/>
      <c r="K161" s="362"/>
      <c r="L161" s="362"/>
      <c r="M161" s="362"/>
      <c r="N161" s="362"/>
      <c r="O161" s="362"/>
    </row>
    <row r="162" spans="1:15" ht="15" x14ac:dyDescent="0.35">
      <c r="A162" s="362" t="s">
        <v>501</v>
      </c>
      <c r="B162" s="509" t="e">
        <f>((1+$F$21)^(1/$D$14))-1</f>
        <v>#DIV/0!</v>
      </c>
      <c r="C162" s="362"/>
      <c r="D162" s="1690" t="s">
        <v>502</v>
      </c>
      <c r="E162" s="1690"/>
      <c r="F162" s="1690"/>
      <c r="G162" s="509" t="e">
        <f>((1+$F$21)^(1/$D$14))-1</f>
        <v>#DIV/0!</v>
      </c>
      <c r="H162" s="365"/>
      <c r="I162" s="362"/>
      <c r="J162" s="362"/>
      <c r="K162" s="362"/>
      <c r="L162" s="362"/>
      <c r="M162" s="362"/>
      <c r="N162" s="362"/>
      <c r="O162" s="362"/>
    </row>
    <row r="163" spans="1:15" x14ac:dyDescent="0.35">
      <c r="A163" s="362" t="s">
        <v>503</v>
      </c>
      <c r="B163" s="510">
        <f>$D$12+$D$13</f>
        <v>0</v>
      </c>
      <c r="C163" s="362"/>
      <c r="D163" s="1690" t="s">
        <v>503</v>
      </c>
      <c r="E163" s="1690"/>
      <c r="F163" s="1690"/>
      <c r="G163" s="510">
        <f>$D$12+$D$13</f>
        <v>0</v>
      </c>
      <c r="H163" s="365"/>
      <c r="I163" s="362"/>
      <c r="J163" s="362"/>
      <c r="K163" s="362"/>
      <c r="L163" s="362"/>
      <c r="M163" s="362"/>
      <c r="N163" s="362"/>
      <c r="O163" s="362"/>
    </row>
    <row r="164" spans="1:15" x14ac:dyDescent="0.35">
      <c r="A164" s="362"/>
      <c r="B164" s="362"/>
      <c r="C164" s="362"/>
      <c r="D164" s="362"/>
      <c r="E164" s="362"/>
      <c r="F164" s="362"/>
      <c r="G164" s="362"/>
      <c r="H164" s="365"/>
      <c r="I164" s="362"/>
      <c r="J164" s="362"/>
      <c r="K164" s="362"/>
      <c r="L164" s="362"/>
      <c r="M164" s="362"/>
      <c r="N164" s="362"/>
      <c r="O164" s="362"/>
    </row>
    <row r="165" spans="1:15" x14ac:dyDescent="0.35">
      <c r="A165" s="528" t="s">
        <v>504</v>
      </c>
      <c r="B165" s="529" t="e">
        <f ca="1">$D$36</f>
        <v>#DIV/0!</v>
      </c>
      <c r="C165" s="362"/>
      <c r="D165" s="1721" t="s">
        <v>504</v>
      </c>
      <c r="E165" s="1722"/>
      <c r="F165" s="1722"/>
      <c r="G165" s="529" t="e">
        <f ca="1">$D$36</f>
        <v>#DIV/0!</v>
      </c>
      <c r="H165" s="365"/>
      <c r="I165" s="362"/>
      <c r="J165" s="362"/>
      <c r="K165" s="362"/>
      <c r="L165" s="362"/>
      <c r="M165" s="362"/>
      <c r="N165" s="362"/>
      <c r="O165" s="362"/>
    </row>
    <row r="166" spans="1:15" x14ac:dyDescent="0.35">
      <c r="A166" s="362" t="s">
        <v>505</v>
      </c>
      <c r="B166" s="510">
        <f>IF($D$13*$D$14-0*$D$14&gt;0,$D$13*$D$14-0*$D$14,0)</f>
        <v>0</v>
      </c>
      <c r="C166" s="362"/>
      <c r="D166" s="1690" t="s">
        <v>505</v>
      </c>
      <c r="E166" s="1690"/>
      <c r="F166" s="1690"/>
      <c r="G166" s="510">
        <f>IF($D$13*$D$14-0*$D$14&gt;0,$D$13*$D$14-0*$D$14,0)</f>
        <v>0</v>
      </c>
      <c r="H166" s="530"/>
      <c r="I166" s="362"/>
      <c r="J166" s="362"/>
      <c r="K166" s="362"/>
      <c r="L166" s="362"/>
      <c r="M166" s="362"/>
      <c r="N166" s="362"/>
      <c r="O166" s="362"/>
    </row>
    <row r="167" spans="1:15" x14ac:dyDescent="0.35">
      <c r="A167" s="362" t="s">
        <v>529</v>
      </c>
      <c r="B167" s="510">
        <f>($D$26-$D$26)*$D$14</f>
        <v>0</v>
      </c>
      <c r="C167" s="362"/>
      <c r="D167" s="1690" t="s">
        <v>529</v>
      </c>
      <c r="E167" s="1690"/>
      <c r="F167" s="1690"/>
      <c r="G167" s="510">
        <f>($D$26-$D$26)*$D$14</f>
        <v>0</v>
      </c>
      <c r="H167" s="365"/>
      <c r="I167" s="362"/>
      <c r="J167" s="362"/>
      <c r="K167" s="362"/>
      <c r="L167" s="362"/>
      <c r="M167" s="362"/>
      <c r="N167" s="362"/>
      <c r="O167" s="362"/>
    </row>
    <row r="168" spans="1:15" x14ac:dyDescent="0.35">
      <c r="A168" s="362" t="s">
        <v>507</v>
      </c>
      <c r="B168" s="513">
        <f>$B$163*$D$14-B166-B167</f>
        <v>0</v>
      </c>
      <c r="C168" s="362"/>
      <c r="D168" s="1690" t="s">
        <v>507</v>
      </c>
      <c r="E168" s="1690"/>
      <c r="F168" s="1690"/>
      <c r="G168" s="513">
        <f>$G$163*$D$14-G166-G167</f>
        <v>0</v>
      </c>
      <c r="H168" s="365"/>
      <c r="I168" s="362"/>
      <c r="J168" s="362"/>
      <c r="K168" s="362"/>
      <c r="L168" s="362"/>
      <c r="M168" s="362"/>
      <c r="N168" s="362"/>
      <c r="O168" s="362"/>
    </row>
    <row r="169" spans="1:15" ht="15.5" x14ac:dyDescent="0.35">
      <c r="A169" s="362" t="s">
        <v>530</v>
      </c>
      <c r="B169" s="516" t="e">
        <f>(1+$B$161)^-B166</f>
        <v>#DIV/0!</v>
      </c>
      <c r="C169" s="362"/>
      <c r="D169" s="1709" t="s">
        <v>536</v>
      </c>
      <c r="E169" s="1709"/>
      <c r="F169" s="1709"/>
      <c r="G169" s="515" t="e">
        <f>(1+$G$161)^-G166</f>
        <v>#DIV/0!</v>
      </c>
      <c r="H169" s="365"/>
      <c r="I169" s="362"/>
      <c r="J169" s="362"/>
      <c r="K169" s="362"/>
      <c r="L169" s="362"/>
      <c r="M169" s="362"/>
      <c r="N169" s="362"/>
      <c r="O169" s="362"/>
    </row>
    <row r="170" spans="1:15" ht="15.5" x14ac:dyDescent="0.35">
      <c r="A170" s="362" t="s">
        <v>510</v>
      </c>
      <c r="B170" s="516" t="e">
        <f>(1+$B$161)^-B167</f>
        <v>#DIV/0!</v>
      </c>
      <c r="C170" s="362"/>
      <c r="D170" s="1690" t="s">
        <v>511</v>
      </c>
      <c r="E170" s="1690"/>
      <c r="F170" s="1690"/>
      <c r="G170" s="515" t="e">
        <f>(1+$G$161)^-G167</f>
        <v>#DIV/0!</v>
      </c>
      <c r="H170" s="365"/>
      <c r="I170" s="362"/>
      <c r="J170" s="362"/>
      <c r="K170" s="362"/>
      <c r="L170" s="362"/>
      <c r="M170" s="362"/>
      <c r="N170" s="362"/>
      <c r="O170" s="362"/>
    </row>
    <row r="171" spans="1:15" ht="15.5" x14ac:dyDescent="0.35">
      <c r="A171" s="531"/>
      <c r="B171" s="532"/>
      <c r="C171" s="362"/>
      <c r="D171" s="1709" t="s">
        <v>537</v>
      </c>
      <c r="E171" s="1709"/>
      <c r="F171" s="1709"/>
      <c r="G171" s="515" t="e">
        <f>(1+$G$161)^-G168</f>
        <v>#DIV/0!</v>
      </c>
      <c r="H171" s="365"/>
      <c r="I171" s="362"/>
      <c r="J171" s="362"/>
      <c r="K171" s="362"/>
      <c r="L171" s="362"/>
      <c r="M171" s="362"/>
      <c r="N171" s="362"/>
      <c r="O171" s="362"/>
    </row>
    <row r="172" spans="1:15" ht="15" x14ac:dyDescent="0.35">
      <c r="A172" s="362"/>
      <c r="B172" s="362"/>
      <c r="C172" s="362"/>
      <c r="D172" s="1709" t="s">
        <v>513</v>
      </c>
      <c r="E172" s="1709"/>
      <c r="F172" s="1709"/>
      <c r="G172" s="515" t="e">
        <f>PV($G$161,G168,-1)</f>
        <v>#DIV/0!</v>
      </c>
      <c r="H172" s="365"/>
      <c r="I172" s="362"/>
      <c r="J172" s="362"/>
      <c r="K172" s="362"/>
      <c r="L172" s="362"/>
      <c r="M172" s="362"/>
      <c r="N172" s="362"/>
      <c r="O172" s="362"/>
    </row>
    <row r="173" spans="1:15" ht="15" x14ac:dyDescent="0.35">
      <c r="A173" s="362"/>
      <c r="B173" s="362"/>
      <c r="C173" s="362"/>
      <c r="D173" s="1709" t="s">
        <v>514</v>
      </c>
      <c r="E173" s="1709"/>
      <c r="F173" s="1709"/>
      <c r="G173" s="515" t="e">
        <f>PV($G$161,G168-1,-1)</f>
        <v>#DIV/0!</v>
      </c>
      <c r="H173" s="365"/>
      <c r="I173" s="362"/>
      <c r="J173" s="362"/>
      <c r="K173" s="362"/>
      <c r="L173" s="362"/>
      <c r="M173" s="362"/>
      <c r="N173" s="362"/>
      <c r="O173" s="362"/>
    </row>
    <row r="174" spans="1:15" x14ac:dyDescent="0.35">
      <c r="A174" s="362" t="s">
        <v>515</v>
      </c>
      <c r="B174" s="463" t="e">
        <f ca="1">$B$162*$D$36</f>
        <v>#DIV/0!</v>
      </c>
      <c r="C174" s="362"/>
      <c r="D174" s="1690" t="s">
        <v>515</v>
      </c>
      <c r="E174" s="1690"/>
      <c r="F174" s="1690"/>
      <c r="G174" s="463" t="e">
        <f ca="1">$G$162*$D$36</f>
        <v>#DIV/0!</v>
      </c>
      <c r="H174" s="365"/>
      <c r="I174" s="362"/>
      <c r="J174" s="362"/>
      <c r="K174" s="362"/>
      <c r="L174" s="362"/>
      <c r="M174" s="362"/>
      <c r="N174" s="362"/>
      <c r="O174" s="362"/>
    </row>
    <row r="175" spans="1:15" ht="15" x14ac:dyDescent="0.35">
      <c r="A175" s="362" t="s">
        <v>516</v>
      </c>
      <c r="B175" s="463" t="e">
        <f ca="1">PV($B$161,B166,-B174)</f>
        <v>#DIV/0!</v>
      </c>
      <c r="C175" s="362"/>
      <c r="D175" s="1709" t="s">
        <v>517</v>
      </c>
      <c r="E175" s="1709"/>
      <c r="F175" s="1709"/>
      <c r="G175" s="463" t="e">
        <f ca="1">PV($G$161,G166,-G174)</f>
        <v>#DIV/0!</v>
      </c>
      <c r="H175" s="365"/>
      <c r="I175" s="362"/>
      <c r="J175" s="362"/>
      <c r="K175" s="362"/>
      <c r="L175" s="362"/>
      <c r="M175" s="362"/>
      <c r="N175" s="362"/>
      <c r="O175" s="362"/>
    </row>
    <row r="176" spans="1:15" x14ac:dyDescent="0.35">
      <c r="A176" s="362"/>
      <c r="B176" s="362"/>
      <c r="C176" s="362"/>
      <c r="D176" s="1709" t="s">
        <v>518</v>
      </c>
      <c r="E176" s="1709"/>
      <c r="F176" s="1709"/>
      <c r="G176" s="463" t="e">
        <f ca="1">$D$36/G168</f>
        <v>#DIV/0!</v>
      </c>
      <c r="H176" s="365"/>
      <c r="I176" s="362"/>
      <c r="J176" s="362"/>
      <c r="K176" s="362"/>
      <c r="L176" s="362"/>
      <c r="M176" s="362"/>
      <c r="N176" s="362"/>
      <c r="O176" s="362"/>
    </row>
    <row r="177" spans="1:15" x14ac:dyDescent="0.35">
      <c r="A177" s="362"/>
      <c r="B177" s="362"/>
      <c r="C177" s="362"/>
      <c r="D177" s="1709" t="s">
        <v>519</v>
      </c>
      <c r="E177" s="1709"/>
      <c r="F177" s="1709"/>
      <c r="G177" s="463" t="e">
        <f ca="1">$G$162*$D$36</f>
        <v>#DIV/0!</v>
      </c>
      <c r="H177" s="365"/>
      <c r="I177" s="362"/>
      <c r="J177" s="362"/>
      <c r="K177" s="362"/>
      <c r="L177" s="362"/>
      <c r="M177" s="362"/>
      <c r="N177" s="362"/>
      <c r="O177" s="362"/>
    </row>
    <row r="178" spans="1:15" x14ac:dyDescent="0.35">
      <c r="A178" s="362"/>
      <c r="B178" s="362"/>
      <c r="C178" s="362"/>
      <c r="D178" s="1709" t="s">
        <v>520</v>
      </c>
      <c r="E178" s="1709"/>
      <c r="F178" s="1709"/>
      <c r="G178" s="463" t="e">
        <f ca="1">G176+G177</f>
        <v>#DIV/0!</v>
      </c>
      <c r="H178" s="365"/>
      <c r="I178" s="362"/>
      <c r="J178" s="362"/>
      <c r="K178" s="362"/>
      <c r="L178" s="362"/>
      <c r="M178" s="362"/>
      <c r="N178" s="362"/>
      <c r="O178" s="362"/>
    </row>
    <row r="179" spans="1:15" x14ac:dyDescent="0.35">
      <c r="A179" s="442" t="s">
        <v>521</v>
      </c>
      <c r="B179" s="463" t="e">
        <f ca="1">PMT($B$162,B168,-$D$36)</f>
        <v>#DIV/0!</v>
      </c>
      <c r="C179" s="362"/>
      <c r="D179" s="1709" t="s">
        <v>522</v>
      </c>
      <c r="E179" s="1709"/>
      <c r="F179" s="1709"/>
      <c r="G179" s="515" t="e">
        <f ca="1">-G176*$G$162</f>
        <v>#DIV/0!</v>
      </c>
      <c r="H179" s="365"/>
      <c r="I179" s="362"/>
      <c r="J179" s="362"/>
      <c r="K179" s="362"/>
      <c r="L179" s="362"/>
      <c r="M179" s="362"/>
      <c r="N179" s="362"/>
      <c r="O179" s="362"/>
    </row>
    <row r="180" spans="1:15" ht="15" x14ac:dyDescent="0.35">
      <c r="A180" s="442" t="s">
        <v>523</v>
      </c>
      <c r="B180" s="463" t="e">
        <f ca="1">PV($B$161,B168,-B179)*B169</f>
        <v>#DIV/0!</v>
      </c>
      <c r="C180" s="362"/>
      <c r="D180" s="1709" t="s">
        <v>524</v>
      </c>
      <c r="E180" s="1709"/>
      <c r="F180" s="1709"/>
      <c r="G180" s="463" t="e">
        <f ca="1">(G178*G172+G179*(G173-(G168-1)*G171)/$G$161)*G169</f>
        <v>#DIV/0!</v>
      </c>
      <c r="H180" s="365"/>
      <c r="I180" s="362"/>
      <c r="J180" s="362"/>
      <c r="K180" s="362"/>
      <c r="L180" s="362"/>
      <c r="M180" s="362"/>
      <c r="N180" s="362"/>
      <c r="O180" s="362"/>
    </row>
    <row r="181" spans="1:15" ht="15" thickBot="1" x14ac:dyDescent="0.4">
      <c r="A181" s="442" t="s">
        <v>525</v>
      </c>
      <c r="B181" s="463" t="e">
        <f ca="1">B175+B180</f>
        <v>#DIV/0!</v>
      </c>
      <c r="C181" s="362"/>
      <c r="D181" s="1718" t="s">
        <v>526</v>
      </c>
      <c r="E181" s="1718"/>
      <c r="F181" s="1718"/>
      <c r="G181" s="463" t="e">
        <f ca="1">G175+G180</f>
        <v>#DIV/0!</v>
      </c>
      <c r="H181" s="365"/>
      <c r="I181" s="362"/>
      <c r="J181" s="362"/>
      <c r="K181" s="362"/>
      <c r="L181" s="362"/>
      <c r="M181" s="362"/>
      <c r="N181" s="362"/>
      <c r="O181" s="362"/>
    </row>
    <row r="182" spans="1:15" ht="16.5" thickTop="1" thickBot="1" x14ac:dyDescent="0.4">
      <c r="A182" s="533" t="s">
        <v>527</v>
      </c>
      <c r="B182" s="534" t="e">
        <f ca="1">($D$36-B181)*B170</f>
        <v>#DIV/0!</v>
      </c>
      <c r="C182" s="362"/>
      <c r="D182" s="1726" t="s">
        <v>527</v>
      </c>
      <c r="E182" s="1727"/>
      <c r="F182" s="1727"/>
      <c r="G182" s="534" t="e">
        <f ca="1">($D$36-G181)*G170</f>
        <v>#DIV/0!</v>
      </c>
      <c r="H182" s="365"/>
      <c r="I182" s="362"/>
      <c r="J182" s="362"/>
      <c r="K182" s="362"/>
      <c r="L182" s="362"/>
      <c r="M182" s="362"/>
      <c r="N182" s="362"/>
      <c r="O182" s="362"/>
    </row>
    <row r="183" spans="1:15" ht="15" thickTop="1" x14ac:dyDescent="0.35">
      <c r="A183" s="362"/>
      <c r="B183" s="362"/>
      <c r="C183" s="362"/>
      <c r="D183" s="362"/>
      <c r="E183" s="362"/>
      <c r="F183" s="362"/>
      <c r="G183" s="510"/>
      <c r="H183" s="365"/>
      <c r="I183" s="362"/>
      <c r="J183" s="362"/>
      <c r="K183" s="362"/>
      <c r="L183" s="362"/>
      <c r="M183" s="362"/>
      <c r="N183" s="362"/>
      <c r="O183" s="362"/>
    </row>
    <row r="184" spans="1:15" x14ac:dyDescent="0.35">
      <c r="A184" s="528" t="s">
        <v>528</v>
      </c>
      <c r="B184" s="529" t="e">
        <f ca="1">$E$36</f>
        <v>#DIV/0!</v>
      </c>
      <c r="C184" s="362"/>
      <c r="D184" s="1721" t="s">
        <v>528</v>
      </c>
      <c r="E184" s="1722"/>
      <c r="F184" s="1722"/>
      <c r="G184" s="529" t="e">
        <f ca="1">$E$36</f>
        <v>#DIV/0!</v>
      </c>
      <c r="H184" s="365"/>
      <c r="I184" s="362"/>
      <c r="J184" s="362"/>
      <c r="K184" s="362"/>
      <c r="L184" s="362"/>
      <c r="M184" s="362"/>
      <c r="N184" s="362"/>
      <c r="O184" s="362"/>
    </row>
    <row r="185" spans="1:15" x14ac:dyDescent="0.35">
      <c r="A185" s="362" t="s">
        <v>505</v>
      </c>
      <c r="B185" s="510">
        <f>IF($D$13*$D$14-1*$D$14&gt;0,$D$13*$D$14-1*$D$14,0)</f>
        <v>0</v>
      </c>
      <c r="C185" s="362"/>
      <c r="D185" s="1717" t="s">
        <v>505</v>
      </c>
      <c r="E185" s="1717"/>
      <c r="F185" s="1717"/>
      <c r="G185" s="510">
        <f>IF($D$13*$D$14-1*$D$14&gt;0,$D$13*$D$14-1*$D$14,0)</f>
        <v>0</v>
      </c>
      <c r="H185" s="365"/>
      <c r="I185" s="362"/>
      <c r="J185" s="362"/>
      <c r="K185" s="362"/>
      <c r="L185" s="362"/>
      <c r="M185" s="362"/>
      <c r="N185" s="362"/>
      <c r="O185" s="362"/>
    </row>
    <row r="186" spans="1:15" x14ac:dyDescent="0.35">
      <c r="A186" s="362" t="s">
        <v>506</v>
      </c>
      <c r="B186" s="510">
        <f>($E$26-$D$26)*$D$14</f>
        <v>0</v>
      </c>
      <c r="C186" s="362"/>
      <c r="D186" s="1690" t="s">
        <v>506</v>
      </c>
      <c r="E186" s="1690"/>
      <c r="F186" s="1690"/>
      <c r="G186" s="510">
        <f>($E$26-$D$26)*$D$14</f>
        <v>0</v>
      </c>
      <c r="H186" s="365"/>
      <c r="I186" s="362"/>
      <c r="J186" s="362"/>
      <c r="K186" s="362"/>
      <c r="L186" s="362"/>
      <c r="M186" s="362"/>
      <c r="N186" s="362"/>
      <c r="O186" s="362"/>
    </row>
    <row r="187" spans="1:15" x14ac:dyDescent="0.35">
      <c r="A187" s="362" t="s">
        <v>507</v>
      </c>
      <c r="B187" s="513">
        <f>$B$163*$D$14-B185-B186</f>
        <v>0</v>
      </c>
      <c r="C187" s="362"/>
      <c r="D187" s="1690" t="s">
        <v>507</v>
      </c>
      <c r="E187" s="1690"/>
      <c r="F187" s="1690"/>
      <c r="G187" s="513">
        <f>$G$163*$D$14-G185-G186</f>
        <v>0</v>
      </c>
      <c r="H187" s="365"/>
      <c r="I187" s="362"/>
      <c r="J187" s="362"/>
      <c r="K187" s="362"/>
      <c r="L187" s="362"/>
      <c r="M187" s="362"/>
      <c r="N187" s="362"/>
      <c r="O187" s="362"/>
    </row>
    <row r="188" spans="1:15" ht="15.5" x14ac:dyDescent="0.35">
      <c r="A188" s="362" t="s">
        <v>530</v>
      </c>
      <c r="B188" s="516" t="e">
        <f>(1+$B$161)^-B185</f>
        <v>#DIV/0!</v>
      </c>
      <c r="C188" s="362"/>
      <c r="D188" s="1709" t="s">
        <v>509</v>
      </c>
      <c r="E188" s="1709"/>
      <c r="F188" s="1709"/>
      <c r="G188" s="515" t="e">
        <f>(1+$G$161)^-G185</f>
        <v>#DIV/0!</v>
      </c>
      <c r="H188" s="365"/>
      <c r="I188" s="362"/>
      <c r="J188" s="362"/>
      <c r="K188" s="362"/>
      <c r="L188" s="362"/>
      <c r="M188" s="362"/>
      <c r="N188" s="362"/>
      <c r="O188" s="362"/>
    </row>
    <row r="189" spans="1:15" ht="15.5" x14ac:dyDescent="0.35">
      <c r="A189" s="362" t="s">
        <v>510</v>
      </c>
      <c r="B189" s="516" t="e">
        <f>(1+$B$161)^-B186</f>
        <v>#DIV/0!</v>
      </c>
      <c r="C189" s="362"/>
      <c r="D189" s="1690" t="s">
        <v>511</v>
      </c>
      <c r="E189" s="1690"/>
      <c r="F189" s="1690"/>
      <c r="G189" s="515" t="e">
        <f>(1+$G$161)^-G186</f>
        <v>#DIV/0!</v>
      </c>
      <c r="H189" s="365"/>
      <c r="I189" s="362"/>
      <c r="J189" s="362"/>
      <c r="K189" s="362"/>
      <c r="L189" s="362"/>
      <c r="M189" s="362"/>
      <c r="N189" s="362"/>
      <c r="O189" s="362"/>
    </row>
    <row r="190" spans="1:15" ht="15.5" x14ac:dyDescent="0.35">
      <c r="A190" s="362"/>
      <c r="B190" s="362"/>
      <c r="C190" s="362"/>
      <c r="D190" s="1709" t="s">
        <v>537</v>
      </c>
      <c r="E190" s="1709"/>
      <c r="F190" s="1709"/>
      <c r="G190" s="515" t="e">
        <f>(1+$G$161)^-G187</f>
        <v>#DIV/0!</v>
      </c>
      <c r="H190" s="365"/>
      <c r="I190" s="362"/>
      <c r="J190" s="362"/>
      <c r="K190" s="362"/>
      <c r="L190" s="362"/>
      <c r="M190" s="362"/>
      <c r="N190" s="362"/>
      <c r="O190" s="362"/>
    </row>
    <row r="191" spans="1:15" ht="15" x14ac:dyDescent="0.35">
      <c r="A191" s="362"/>
      <c r="B191" s="362"/>
      <c r="C191" s="362"/>
      <c r="D191" s="1709" t="s">
        <v>513</v>
      </c>
      <c r="E191" s="1709"/>
      <c r="F191" s="1709"/>
      <c r="G191" s="515" t="e">
        <f>PV($G$161,G187,-1)</f>
        <v>#DIV/0!</v>
      </c>
      <c r="H191" s="365"/>
      <c r="I191" s="362"/>
      <c r="J191" s="362"/>
      <c r="K191" s="362"/>
      <c r="L191" s="362"/>
      <c r="M191" s="362"/>
      <c r="N191" s="362"/>
      <c r="O191" s="362"/>
    </row>
    <row r="192" spans="1:15" ht="15" x14ac:dyDescent="0.35">
      <c r="A192" s="362"/>
      <c r="B192" s="362"/>
      <c r="C192" s="362"/>
      <c r="D192" s="1709" t="s">
        <v>514</v>
      </c>
      <c r="E192" s="1709"/>
      <c r="F192" s="1709"/>
      <c r="G192" s="515" t="e">
        <f>PV($G$161,G187-1,-1)</f>
        <v>#DIV/0!</v>
      </c>
      <c r="H192" s="365"/>
      <c r="I192" s="362"/>
      <c r="J192" s="362"/>
      <c r="K192" s="362"/>
      <c r="L192" s="362"/>
      <c r="M192" s="362"/>
      <c r="N192" s="362"/>
      <c r="O192" s="362"/>
    </row>
    <row r="193" spans="1:15" x14ac:dyDescent="0.35">
      <c r="A193" s="362" t="s">
        <v>515</v>
      </c>
      <c r="B193" s="463" t="e">
        <f ca="1">$B$162*$E$36</f>
        <v>#DIV/0!</v>
      </c>
      <c r="C193" s="362"/>
      <c r="D193" s="1690" t="s">
        <v>515</v>
      </c>
      <c r="E193" s="1690"/>
      <c r="F193" s="1690"/>
      <c r="G193" s="463" t="e">
        <f ca="1">$G$162*$E$36</f>
        <v>#DIV/0!</v>
      </c>
      <c r="H193" s="365"/>
      <c r="I193" s="362"/>
      <c r="J193" s="362"/>
      <c r="K193" s="362"/>
      <c r="L193" s="362"/>
      <c r="M193" s="362"/>
      <c r="N193" s="362"/>
      <c r="O193" s="362"/>
    </row>
    <row r="194" spans="1:15" ht="15" x14ac:dyDescent="0.35">
      <c r="A194" s="362" t="s">
        <v>516</v>
      </c>
      <c r="B194" s="463" t="e">
        <f ca="1">PV($B$161,B185,-B193)</f>
        <v>#DIV/0!</v>
      </c>
      <c r="C194" s="362"/>
      <c r="D194" s="1709" t="s">
        <v>517</v>
      </c>
      <c r="E194" s="1709"/>
      <c r="F194" s="1709"/>
      <c r="G194" s="463" t="e">
        <f ca="1">PV($G$161,G185,-G193)</f>
        <v>#DIV/0!</v>
      </c>
      <c r="H194" s="365"/>
      <c r="I194" s="362"/>
      <c r="J194" s="362"/>
      <c r="K194" s="362"/>
      <c r="L194" s="362"/>
      <c r="M194" s="362"/>
      <c r="N194" s="362"/>
      <c r="O194" s="362"/>
    </row>
    <row r="195" spans="1:15" x14ac:dyDescent="0.35">
      <c r="A195" s="362"/>
      <c r="B195" s="362"/>
      <c r="C195" s="362"/>
      <c r="D195" s="1709" t="s">
        <v>518</v>
      </c>
      <c r="E195" s="1709"/>
      <c r="F195" s="1709"/>
      <c r="G195" s="463" t="e">
        <f ca="1">$E$36/G187</f>
        <v>#DIV/0!</v>
      </c>
      <c r="H195" s="365"/>
      <c r="I195" s="362"/>
      <c r="J195" s="362"/>
      <c r="K195" s="362"/>
      <c r="L195" s="362"/>
      <c r="M195" s="362"/>
      <c r="N195" s="362"/>
      <c r="O195" s="362"/>
    </row>
    <row r="196" spans="1:15" x14ac:dyDescent="0.35">
      <c r="A196" s="362"/>
      <c r="B196" s="362"/>
      <c r="C196" s="362"/>
      <c r="D196" s="1709" t="s">
        <v>519</v>
      </c>
      <c r="E196" s="1709"/>
      <c r="F196" s="1709"/>
      <c r="G196" s="463" t="e">
        <f ca="1">$G$162*$E$36</f>
        <v>#DIV/0!</v>
      </c>
      <c r="H196" s="365"/>
      <c r="I196" s="362"/>
      <c r="J196" s="362"/>
      <c r="K196" s="362"/>
      <c r="L196" s="362"/>
      <c r="M196" s="362"/>
      <c r="N196" s="362"/>
      <c r="O196" s="362"/>
    </row>
    <row r="197" spans="1:15" x14ac:dyDescent="0.35">
      <c r="A197" s="362"/>
      <c r="B197" s="362"/>
      <c r="C197" s="362"/>
      <c r="D197" s="1709" t="s">
        <v>520</v>
      </c>
      <c r="E197" s="1709"/>
      <c r="F197" s="1709"/>
      <c r="G197" s="463" t="e">
        <f ca="1">G195+G196</f>
        <v>#DIV/0!</v>
      </c>
      <c r="H197" s="365"/>
      <c r="I197" s="362"/>
      <c r="J197" s="362"/>
      <c r="K197" s="362"/>
      <c r="L197" s="362"/>
      <c r="M197" s="362"/>
      <c r="N197" s="362"/>
      <c r="O197" s="362"/>
    </row>
    <row r="198" spans="1:15" x14ac:dyDescent="0.35">
      <c r="A198" s="442" t="s">
        <v>521</v>
      </c>
      <c r="B198" s="463" t="e">
        <f ca="1">PMT($B$162,B187,-$E$36)</f>
        <v>#DIV/0!</v>
      </c>
      <c r="C198" s="362"/>
      <c r="D198" s="1709" t="s">
        <v>522</v>
      </c>
      <c r="E198" s="1709"/>
      <c r="F198" s="1709"/>
      <c r="G198" s="515" t="e">
        <f ca="1">-G195*$G$162</f>
        <v>#DIV/0!</v>
      </c>
      <c r="H198" s="365"/>
      <c r="I198" s="362"/>
      <c r="J198" s="362"/>
      <c r="K198" s="362"/>
      <c r="L198" s="362"/>
      <c r="M198" s="362"/>
      <c r="N198" s="362"/>
      <c r="O198" s="362"/>
    </row>
    <row r="199" spans="1:15" ht="15" x14ac:dyDescent="0.35">
      <c r="A199" s="442" t="s">
        <v>523</v>
      </c>
      <c r="B199" s="463" t="e">
        <f ca="1">PV($B$161,B187,-B198)*B188</f>
        <v>#DIV/0!</v>
      </c>
      <c r="C199" s="506"/>
      <c r="D199" s="1709" t="s">
        <v>524</v>
      </c>
      <c r="E199" s="1709"/>
      <c r="F199" s="1709"/>
      <c r="G199" s="463" t="e">
        <f ca="1">(G197*G191+G198*(G192-(G187-1)*G190)/$G$161)*G188</f>
        <v>#DIV/0!</v>
      </c>
      <c r="H199" s="507"/>
      <c r="I199" s="506"/>
      <c r="J199" s="506"/>
      <c r="K199" s="506"/>
      <c r="L199" s="506"/>
      <c r="M199" s="506"/>
      <c r="N199" s="506"/>
      <c r="O199" s="506"/>
    </row>
    <row r="200" spans="1:15" ht="15" thickBot="1" x14ac:dyDescent="0.4">
      <c r="A200" s="442" t="s">
        <v>525</v>
      </c>
      <c r="B200" s="463" t="e">
        <f ca="1">B194+B199</f>
        <v>#DIV/0!</v>
      </c>
      <c r="C200" s="362"/>
      <c r="D200" s="1718" t="s">
        <v>526</v>
      </c>
      <c r="E200" s="1718"/>
      <c r="F200" s="1718"/>
      <c r="G200" s="463" t="e">
        <f ca="1">G194+G199</f>
        <v>#DIV/0!</v>
      </c>
      <c r="H200" s="365"/>
      <c r="I200" s="362"/>
      <c r="J200" s="362"/>
      <c r="K200" s="362"/>
      <c r="L200" s="362"/>
      <c r="M200" s="362"/>
      <c r="N200" s="362"/>
      <c r="O200" s="362"/>
    </row>
    <row r="201" spans="1:15" ht="16.5" thickTop="1" thickBot="1" x14ac:dyDescent="0.4">
      <c r="A201" s="533" t="s">
        <v>527</v>
      </c>
      <c r="B201" s="534">
        <f>IF(B187&lt;=0,0,($E$36-B200)*B189)</f>
        <v>0</v>
      </c>
      <c r="C201" s="362"/>
      <c r="D201" s="1726" t="s">
        <v>527</v>
      </c>
      <c r="E201" s="1727"/>
      <c r="F201" s="1727"/>
      <c r="G201" s="534">
        <f>IF(G187&lt;=0,0,($E$36-G200)*G189)</f>
        <v>0</v>
      </c>
      <c r="H201" s="365"/>
      <c r="I201" s="362"/>
      <c r="J201" s="362"/>
      <c r="K201" s="362"/>
      <c r="L201" s="362"/>
      <c r="M201" s="362"/>
      <c r="N201" s="362"/>
      <c r="O201" s="362"/>
    </row>
    <row r="202" spans="1:15" ht="15" thickTop="1" x14ac:dyDescent="0.35">
      <c r="A202" s="362"/>
      <c r="B202" s="362"/>
      <c r="C202" s="362"/>
      <c r="D202" s="362"/>
      <c r="E202" s="362"/>
      <c r="F202" s="362"/>
      <c r="G202" s="362"/>
      <c r="H202" s="365"/>
      <c r="I202" s="362"/>
      <c r="J202" s="362"/>
      <c r="K202" s="362"/>
      <c r="L202" s="362"/>
      <c r="M202" s="362"/>
      <c r="N202" s="362"/>
      <c r="O202" s="362"/>
    </row>
    <row r="203" spans="1:15" x14ac:dyDescent="0.35">
      <c r="A203" s="528" t="s">
        <v>531</v>
      </c>
      <c r="B203" s="529" t="e">
        <f ca="1">$F$36</f>
        <v>#DIV/0!</v>
      </c>
      <c r="C203" s="362"/>
      <c r="D203" s="1721" t="s">
        <v>532</v>
      </c>
      <c r="E203" s="1722"/>
      <c r="F203" s="1722"/>
      <c r="G203" s="529" t="e">
        <f ca="1">$F$36</f>
        <v>#DIV/0!</v>
      </c>
      <c r="H203" s="365"/>
      <c r="I203" s="362"/>
      <c r="J203" s="362"/>
      <c r="K203" s="362"/>
      <c r="L203" s="362"/>
      <c r="M203" s="362"/>
      <c r="N203" s="362"/>
      <c r="O203" s="362"/>
    </row>
    <row r="204" spans="1:15" x14ac:dyDescent="0.35">
      <c r="A204" s="362" t="s">
        <v>505</v>
      </c>
      <c r="B204" s="510">
        <f>IF($D$13*$D$14-2*$D$14&gt;0,$D$13*$D$14-2*$D$14,0)</f>
        <v>0</v>
      </c>
      <c r="C204" s="362"/>
      <c r="D204" s="1717" t="s">
        <v>505</v>
      </c>
      <c r="E204" s="1717"/>
      <c r="F204" s="1717"/>
      <c r="G204" s="510">
        <f>IF($D$13*$D$14-2*$D$14&gt;0,$D$13*$D$14-2*$D$14,0)</f>
        <v>0</v>
      </c>
      <c r="H204" s="365"/>
      <c r="I204" s="362"/>
      <c r="J204" s="362"/>
      <c r="K204" s="362"/>
      <c r="L204" s="362"/>
      <c r="M204" s="362"/>
      <c r="N204" s="362"/>
      <c r="O204" s="362"/>
    </row>
    <row r="205" spans="1:15" x14ac:dyDescent="0.35">
      <c r="A205" s="362" t="s">
        <v>506</v>
      </c>
      <c r="B205" s="510">
        <f>($F$26-$D$26)*$D$14</f>
        <v>0</v>
      </c>
      <c r="C205" s="362"/>
      <c r="D205" s="1690" t="s">
        <v>506</v>
      </c>
      <c r="E205" s="1690"/>
      <c r="F205" s="1690"/>
      <c r="G205" s="510">
        <f>($F$26-$D$26)*$D$14</f>
        <v>0</v>
      </c>
      <c r="H205" s="365"/>
      <c r="I205" s="362"/>
      <c r="J205" s="362"/>
      <c r="K205" s="362"/>
      <c r="L205" s="362"/>
      <c r="M205" s="362"/>
      <c r="N205" s="362"/>
      <c r="O205" s="362"/>
    </row>
    <row r="206" spans="1:15" x14ac:dyDescent="0.35">
      <c r="A206" s="362" t="s">
        <v>507</v>
      </c>
      <c r="B206" s="513">
        <f>$B$163*$D$14-B204-B205</f>
        <v>0</v>
      </c>
      <c r="C206" s="362"/>
      <c r="D206" s="1690" t="s">
        <v>507</v>
      </c>
      <c r="E206" s="1690"/>
      <c r="F206" s="1690"/>
      <c r="G206" s="513">
        <f>$G$163*$D$14-G204-G205</f>
        <v>0</v>
      </c>
      <c r="H206" s="365"/>
      <c r="I206" s="362"/>
      <c r="J206" s="362"/>
      <c r="K206" s="362"/>
      <c r="L206" s="362"/>
      <c r="M206" s="362"/>
      <c r="N206" s="362"/>
      <c r="O206" s="362"/>
    </row>
    <row r="207" spans="1:15" ht="15.5" x14ac:dyDescent="0.35">
      <c r="A207" s="362" t="s">
        <v>530</v>
      </c>
      <c r="B207" s="516" t="e">
        <f>(1+$B$161)^-B204</f>
        <v>#DIV/0!</v>
      </c>
      <c r="C207" s="362"/>
      <c r="D207" s="1709" t="s">
        <v>509</v>
      </c>
      <c r="E207" s="1709"/>
      <c r="F207" s="1709"/>
      <c r="G207" s="515" t="e">
        <f>(1+$G$161)^-G204</f>
        <v>#DIV/0!</v>
      </c>
      <c r="H207" s="365"/>
      <c r="I207" s="362"/>
      <c r="J207" s="362"/>
      <c r="K207" s="362"/>
      <c r="L207" s="362"/>
      <c r="M207" s="362"/>
      <c r="N207" s="362"/>
      <c r="O207" s="362"/>
    </row>
    <row r="208" spans="1:15" ht="15.5" x14ac:dyDescent="0.35">
      <c r="A208" s="362" t="s">
        <v>510</v>
      </c>
      <c r="B208" s="516" t="e">
        <f>(1+$B$161)^-B205</f>
        <v>#DIV/0!</v>
      </c>
      <c r="C208" s="362"/>
      <c r="D208" s="1690" t="s">
        <v>511</v>
      </c>
      <c r="E208" s="1690"/>
      <c r="F208" s="1690"/>
      <c r="G208" s="515" t="e">
        <f>(1+$G$161)^-G205</f>
        <v>#DIV/0!</v>
      </c>
      <c r="H208" s="365"/>
      <c r="I208" s="362"/>
      <c r="J208" s="362"/>
      <c r="K208" s="362"/>
      <c r="L208" s="362"/>
      <c r="M208" s="362"/>
      <c r="N208" s="362"/>
      <c r="O208" s="362"/>
    </row>
    <row r="209" spans="1:15" ht="15.5" x14ac:dyDescent="0.35">
      <c r="A209" s="362"/>
      <c r="B209" s="516"/>
      <c r="C209" s="362"/>
      <c r="D209" s="1709" t="s">
        <v>537</v>
      </c>
      <c r="E209" s="1709"/>
      <c r="F209" s="1709"/>
      <c r="G209" s="515" t="e">
        <f>(1+$G$161)^-G206</f>
        <v>#DIV/0!</v>
      </c>
      <c r="H209" s="365"/>
      <c r="I209" s="362"/>
      <c r="J209" s="362"/>
      <c r="K209" s="362"/>
      <c r="L209" s="362"/>
      <c r="M209" s="362"/>
      <c r="N209" s="362"/>
      <c r="O209" s="362"/>
    </row>
    <row r="210" spans="1:15" ht="15" x14ac:dyDescent="0.35">
      <c r="A210" s="362"/>
      <c r="B210" s="362"/>
      <c r="C210" s="362"/>
      <c r="D210" s="1709" t="s">
        <v>513</v>
      </c>
      <c r="E210" s="1709"/>
      <c r="F210" s="1709"/>
      <c r="G210" s="515" t="e">
        <f>PV($G$161,G206,-1)</f>
        <v>#DIV/0!</v>
      </c>
      <c r="H210" s="365"/>
      <c r="I210" s="362"/>
      <c r="J210" s="362"/>
      <c r="K210" s="362"/>
      <c r="L210" s="362"/>
      <c r="M210" s="362"/>
      <c r="N210" s="362"/>
      <c r="O210" s="362"/>
    </row>
    <row r="211" spans="1:15" ht="15" x14ac:dyDescent="0.35">
      <c r="A211" s="362"/>
      <c r="B211" s="362"/>
      <c r="C211" s="362"/>
      <c r="D211" s="1709" t="s">
        <v>514</v>
      </c>
      <c r="E211" s="1709"/>
      <c r="F211" s="1709"/>
      <c r="G211" s="515" t="e">
        <f>PV($G$161,G206-1,-1)</f>
        <v>#DIV/0!</v>
      </c>
      <c r="H211" s="365"/>
      <c r="I211" s="362"/>
      <c r="J211" s="362"/>
      <c r="K211" s="362"/>
      <c r="L211" s="362"/>
      <c r="M211" s="362"/>
      <c r="N211" s="362"/>
      <c r="O211" s="362"/>
    </row>
    <row r="212" spans="1:15" x14ac:dyDescent="0.35">
      <c r="A212" s="362" t="s">
        <v>515</v>
      </c>
      <c r="B212" s="463" t="e">
        <f ca="1">$B$162*$F$36</f>
        <v>#DIV/0!</v>
      </c>
      <c r="C212" s="362"/>
      <c r="D212" s="1690" t="s">
        <v>515</v>
      </c>
      <c r="E212" s="1690"/>
      <c r="F212" s="1690"/>
      <c r="G212" s="463" t="e">
        <f ca="1">$G$162*$F$36</f>
        <v>#DIV/0!</v>
      </c>
      <c r="H212" s="365"/>
      <c r="I212" s="362"/>
      <c r="J212" s="362"/>
      <c r="K212" s="362"/>
      <c r="L212" s="362"/>
      <c r="M212" s="362"/>
      <c r="N212" s="362"/>
      <c r="O212" s="362"/>
    </row>
    <row r="213" spans="1:15" ht="15" x14ac:dyDescent="0.35">
      <c r="A213" s="362" t="s">
        <v>516</v>
      </c>
      <c r="B213" s="463" t="e">
        <f ca="1">PV($B$161,B204,-B212)</f>
        <v>#DIV/0!</v>
      </c>
      <c r="C213" s="362"/>
      <c r="D213" s="1728" t="s">
        <v>517</v>
      </c>
      <c r="E213" s="1728"/>
      <c r="F213" s="1728"/>
      <c r="G213" s="463" t="e">
        <f ca="1">PV($G$161,G204,-G212)</f>
        <v>#DIV/0!</v>
      </c>
      <c r="H213" s="365"/>
      <c r="I213" s="362"/>
      <c r="J213" s="362"/>
      <c r="K213" s="362"/>
      <c r="L213" s="362"/>
      <c r="M213" s="362"/>
      <c r="N213" s="362"/>
      <c r="O213" s="362"/>
    </row>
    <row r="214" spans="1:15" x14ac:dyDescent="0.35">
      <c r="A214" s="362"/>
      <c r="B214" s="362"/>
      <c r="C214" s="362"/>
      <c r="D214" s="1709" t="s">
        <v>518</v>
      </c>
      <c r="E214" s="1709"/>
      <c r="F214" s="1709"/>
      <c r="G214" s="463" t="e">
        <f ca="1">$F$36/G206</f>
        <v>#DIV/0!</v>
      </c>
      <c r="H214" s="365"/>
      <c r="I214" s="362"/>
      <c r="J214" s="362"/>
      <c r="K214" s="362"/>
      <c r="L214" s="362"/>
      <c r="M214" s="362"/>
      <c r="N214" s="362"/>
      <c r="O214" s="362"/>
    </row>
    <row r="215" spans="1:15" x14ac:dyDescent="0.35">
      <c r="A215" s="362"/>
      <c r="B215" s="362"/>
      <c r="C215" s="362"/>
      <c r="D215" s="1709" t="s">
        <v>519</v>
      </c>
      <c r="E215" s="1709"/>
      <c r="F215" s="1709"/>
      <c r="G215" s="463" t="e">
        <f ca="1">$G$162*$F$36</f>
        <v>#DIV/0!</v>
      </c>
      <c r="H215" s="365"/>
      <c r="I215" s="362"/>
      <c r="J215" s="362"/>
      <c r="K215" s="362"/>
      <c r="L215" s="362"/>
      <c r="M215" s="362"/>
      <c r="N215" s="362"/>
      <c r="O215" s="362"/>
    </row>
    <row r="216" spans="1:15" x14ac:dyDescent="0.35">
      <c r="A216" s="362"/>
      <c r="B216" s="362"/>
      <c r="C216" s="362"/>
      <c r="D216" s="1709" t="s">
        <v>520</v>
      </c>
      <c r="E216" s="1709"/>
      <c r="F216" s="1709"/>
      <c r="G216" s="463" t="e">
        <f ca="1">G214+G215</f>
        <v>#DIV/0!</v>
      </c>
      <c r="H216" s="365"/>
      <c r="I216" s="362"/>
      <c r="J216" s="362"/>
      <c r="K216" s="362"/>
      <c r="L216" s="362"/>
      <c r="M216" s="362"/>
      <c r="N216" s="362"/>
      <c r="O216" s="362"/>
    </row>
    <row r="217" spans="1:15" x14ac:dyDescent="0.35">
      <c r="A217" s="442" t="s">
        <v>521</v>
      </c>
      <c r="B217" s="463" t="e">
        <f ca="1">PMT($B$162,B206,-$F$36)</f>
        <v>#DIV/0!</v>
      </c>
      <c r="C217" s="362"/>
      <c r="D217" s="1709" t="s">
        <v>522</v>
      </c>
      <c r="E217" s="1709"/>
      <c r="F217" s="1709"/>
      <c r="G217" s="515" t="e">
        <f ca="1">-G214*$G$162</f>
        <v>#DIV/0!</v>
      </c>
      <c r="H217" s="365"/>
      <c r="I217" s="362"/>
      <c r="J217" s="362"/>
      <c r="K217" s="362"/>
      <c r="L217" s="362"/>
      <c r="M217" s="362"/>
      <c r="N217" s="362"/>
      <c r="O217" s="362"/>
    </row>
    <row r="218" spans="1:15" ht="15" x14ac:dyDescent="0.35">
      <c r="A218" s="442" t="s">
        <v>523</v>
      </c>
      <c r="B218" s="463" t="e">
        <f ca="1">PV($B$161,B206,-B217)*B207</f>
        <v>#DIV/0!</v>
      </c>
      <c r="C218" s="362"/>
      <c r="D218" s="1709" t="s">
        <v>524</v>
      </c>
      <c r="E218" s="1709"/>
      <c r="F218" s="1709"/>
      <c r="G218" s="463" t="e">
        <f ca="1">(G216*G210+G217*(G211-(G206-1)*G209)/$G$161)*G207</f>
        <v>#DIV/0!</v>
      </c>
      <c r="H218" s="365"/>
      <c r="I218" s="362"/>
      <c r="J218" s="362"/>
      <c r="K218" s="362"/>
      <c r="L218" s="362"/>
      <c r="M218" s="362"/>
      <c r="N218" s="362"/>
      <c r="O218" s="362"/>
    </row>
    <row r="219" spans="1:15" ht="15" thickBot="1" x14ac:dyDescent="0.4">
      <c r="A219" s="442" t="s">
        <v>525</v>
      </c>
      <c r="B219" s="463" t="e">
        <f ca="1">B213+B218</f>
        <v>#DIV/0!</v>
      </c>
      <c r="C219" s="362"/>
      <c r="D219" s="1718" t="s">
        <v>526</v>
      </c>
      <c r="E219" s="1718"/>
      <c r="F219" s="1718"/>
      <c r="G219" s="463" t="e">
        <f ca="1">G213+G218</f>
        <v>#DIV/0!</v>
      </c>
      <c r="H219" s="365"/>
      <c r="I219" s="362"/>
      <c r="J219" s="362"/>
      <c r="K219" s="362"/>
      <c r="L219" s="362"/>
      <c r="M219" s="362"/>
      <c r="N219" s="362"/>
      <c r="O219" s="362"/>
    </row>
    <row r="220" spans="1:15" ht="16.5" thickTop="1" thickBot="1" x14ac:dyDescent="0.4">
      <c r="A220" s="533" t="s">
        <v>527</v>
      </c>
      <c r="B220" s="534">
        <f>IF(B206&lt;=0,0,($F$36-B219)*B208)</f>
        <v>0</v>
      </c>
      <c r="C220" s="362"/>
      <c r="D220" s="1726" t="s">
        <v>527</v>
      </c>
      <c r="E220" s="1727"/>
      <c r="F220" s="1727"/>
      <c r="G220" s="534">
        <f>IF(G206&lt;=0,0,($F$36-G219)*G208)</f>
        <v>0</v>
      </c>
      <c r="H220" s="365"/>
      <c r="I220" s="362"/>
      <c r="J220" s="362"/>
      <c r="K220" s="362"/>
      <c r="L220" s="362"/>
      <c r="M220" s="362"/>
      <c r="N220" s="362"/>
      <c r="O220" s="362"/>
    </row>
    <row r="221" spans="1:15" ht="15" thickTop="1" x14ac:dyDescent="0.35">
      <c r="A221" s="362"/>
      <c r="B221" s="362"/>
      <c r="C221" s="362"/>
      <c r="D221" s="362"/>
      <c r="E221" s="362"/>
      <c r="F221" s="362"/>
      <c r="G221" s="362"/>
      <c r="H221" s="365"/>
      <c r="I221" s="362"/>
      <c r="J221" s="362"/>
      <c r="K221" s="362"/>
      <c r="L221" s="362"/>
      <c r="M221" s="362"/>
      <c r="N221" s="362"/>
      <c r="O221" s="362"/>
    </row>
    <row r="222" spans="1:15" x14ac:dyDescent="0.35">
      <c r="A222" s="528" t="s">
        <v>533</v>
      </c>
      <c r="B222" s="529" t="e">
        <f ca="1">$G$36</f>
        <v>#DIV/0!</v>
      </c>
      <c r="C222" s="362"/>
      <c r="D222" s="1721" t="s">
        <v>533</v>
      </c>
      <c r="E222" s="1722"/>
      <c r="F222" s="1722"/>
      <c r="G222" s="529" t="e">
        <f ca="1">$G$36</f>
        <v>#DIV/0!</v>
      </c>
      <c r="H222" s="365"/>
      <c r="I222" s="362"/>
      <c r="J222" s="362"/>
      <c r="K222" s="362"/>
      <c r="L222" s="362"/>
      <c r="M222" s="362"/>
      <c r="N222" s="362"/>
      <c r="O222" s="362"/>
    </row>
    <row r="223" spans="1:15" x14ac:dyDescent="0.35">
      <c r="A223" s="362" t="s">
        <v>505</v>
      </c>
      <c r="B223" s="510">
        <f>IF($D$13*$D$14-3*$D$14&gt;0,$D$13*$D$14-3*$D$14,0)</f>
        <v>0</v>
      </c>
      <c r="C223" s="362"/>
      <c r="D223" s="1717" t="s">
        <v>505</v>
      </c>
      <c r="E223" s="1717"/>
      <c r="F223" s="1717"/>
      <c r="G223" s="510">
        <f>IF($D$13*$D$14-3*$D$14&gt;0,$D$13*$D$14-3*$D$14,0)</f>
        <v>0</v>
      </c>
      <c r="H223" s="365"/>
      <c r="I223" s="362"/>
      <c r="J223" s="362"/>
      <c r="K223" s="362"/>
      <c r="L223" s="362"/>
      <c r="M223" s="362"/>
      <c r="N223" s="362"/>
      <c r="O223" s="362"/>
    </row>
    <row r="224" spans="1:15" x14ac:dyDescent="0.35">
      <c r="A224" s="362" t="s">
        <v>506</v>
      </c>
      <c r="B224" s="510">
        <f>($G$26-$D$26)*$D$14</f>
        <v>0</v>
      </c>
      <c r="C224" s="362"/>
      <c r="D224" s="1690" t="s">
        <v>506</v>
      </c>
      <c r="E224" s="1690"/>
      <c r="F224" s="1690"/>
      <c r="G224" s="510">
        <f>($G$26-$D$26)*$D$14</f>
        <v>0</v>
      </c>
      <c r="H224" s="365"/>
      <c r="I224" s="362"/>
      <c r="J224" s="362"/>
      <c r="K224" s="362"/>
      <c r="L224" s="362"/>
      <c r="M224" s="362"/>
      <c r="N224" s="362"/>
      <c r="O224" s="362"/>
    </row>
    <row r="225" spans="1:15" x14ac:dyDescent="0.35">
      <c r="A225" s="362" t="s">
        <v>507</v>
      </c>
      <c r="B225" s="513">
        <f>$B$163*$D$14-B223-B224</f>
        <v>0</v>
      </c>
      <c r="C225" s="362"/>
      <c r="D225" s="1690" t="s">
        <v>507</v>
      </c>
      <c r="E225" s="1690"/>
      <c r="F225" s="1690"/>
      <c r="G225" s="513">
        <f>$G$163*$D$14-G223-G224</f>
        <v>0</v>
      </c>
      <c r="H225" s="365"/>
      <c r="I225" s="362"/>
      <c r="J225" s="362"/>
      <c r="K225" s="362"/>
      <c r="L225" s="362"/>
      <c r="M225" s="362"/>
      <c r="N225" s="362"/>
      <c r="O225" s="362"/>
    </row>
    <row r="226" spans="1:15" ht="15.5" x14ac:dyDescent="0.35">
      <c r="A226" s="362" t="s">
        <v>530</v>
      </c>
      <c r="B226" s="516" t="e">
        <f>(1+$B$161)^-B223</f>
        <v>#DIV/0!</v>
      </c>
      <c r="C226" s="362"/>
      <c r="D226" s="1709" t="s">
        <v>509</v>
      </c>
      <c r="E226" s="1709"/>
      <c r="F226" s="1709"/>
      <c r="G226" s="515" t="e">
        <f>(1+$G$161)^-G223</f>
        <v>#DIV/0!</v>
      </c>
      <c r="H226" s="365"/>
      <c r="I226" s="362"/>
      <c r="J226" s="362"/>
      <c r="K226" s="362"/>
      <c r="L226" s="362"/>
      <c r="M226" s="362"/>
      <c r="N226" s="362"/>
      <c r="O226" s="362"/>
    </row>
    <row r="227" spans="1:15" ht="15.5" x14ac:dyDescent="0.35">
      <c r="A227" s="362" t="s">
        <v>510</v>
      </c>
      <c r="B227" s="516" t="e">
        <f>(1+$B$161)^-B224</f>
        <v>#DIV/0!</v>
      </c>
      <c r="C227" s="362"/>
      <c r="D227" s="1690" t="s">
        <v>511</v>
      </c>
      <c r="E227" s="1690"/>
      <c r="F227" s="1690"/>
      <c r="G227" s="516" t="e">
        <f>(1+$G$161)^-G224</f>
        <v>#DIV/0!</v>
      </c>
      <c r="H227" s="365"/>
      <c r="I227" s="362"/>
      <c r="J227" s="362"/>
      <c r="K227" s="362"/>
      <c r="L227" s="362"/>
      <c r="M227" s="362"/>
      <c r="N227" s="362"/>
      <c r="O227" s="362"/>
    </row>
    <row r="228" spans="1:15" ht="15.5" x14ac:dyDescent="0.35">
      <c r="A228" s="362"/>
      <c r="B228" s="362"/>
      <c r="C228" s="362"/>
      <c r="D228" s="1709" t="s">
        <v>537</v>
      </c>
      <c r="E228" s="1709"/>
      <c r="F228" s="1709"/>
      <c r="G228" s="515" t="e">
        <f>(1+$G$161)^-G225</f>
        <v>#DIV/0!</v>
      </c>
      <c r="H228" s="365"/>
      <c r="I228" s="362"/>
      <c r="J228" s="362"/>
      <c r="K228" s="362"/>
      <c r="L228" s="362"/>
      <c r="M228" s="362"/>
      <c r="N228" s="362"/>
      <c r="O228" s="362"/>
    </row>
    <row r="229" spans="1:15" ht="15" x14ac:dyDescent="0.35">
      <c r="A229" s="362"/>
      <c r="B229" s="362"/>
      <c r="C229" s="362"/>
      <c r="D229" s="1709" t="s">
        <v>513</v>
      </c>
      <c r="E229" s="1709"/>
      <c r="F229" s="1709"/>
      <c r="G229" s="515" t="e">
        <f>PV($G$161,G225,-1)</f>
        <v>#DIV/0!</v>
      </c>
      <c r="H229" s="365"/>
      <c r="I229" s="362"/>
      <c r="J229" s="362"/>
      <c r="K229" s="362"/>
      <c r="L229" s="362"/>
      <c r="M229" s="362"/>
      <c r="N229" s="362"/>
      <c r="O229" s="362"/>
    </row>
    <row r="230" spans="1:15" ht="15" x14ac:dyDescent="0.35">
      <c r="A230" s="362"/>
      <c r="B230" s="362"/>
      <c r="C230" s="362"/>
      <c r="D230" s="1709" t="s">
        <v>514</v>
      </c>
      <c r="E230" s="1709"/>
      <c r="F230" s="1709"/>
      <c r="G230" s="515" t="e">
        <f>PV($G$161,G225-1,-1)</f>
        <v>#DIV/0!</v>
      </c>
      <c r="H230" s="365"/>
      <c r="I230" s="362"/>
      <c r="J230" s="362"/>
      <c r="K230" s="362"/>
      <c r="L230" s="362"/>
      <c r="M230" s="362"/>
      <c r="N230" s="362"/>
      <c r="O230" s="362"/>
    </row>
    <row r="231" spans="1:15" x14ac:dyDescent="0.35">
      <c r="A231" s="362" t="s">
        <v>515</v>
      </c>
      <c r="B231" s="463" t="e">
        <f ca="1">$B$162*$G$36</f>
        <v>#DIV/0!</v>
      </c>
      <c r="C231" s="362"/>
      <c r="D231" s="1690" t="s">
        <v>515</v>
      </c>
      <c r="E231" s="1690"/>
      <c r="F231" s="1690"/>
      <c r="G231" s="463" t="e">
        <f ca="1">$G$162*$G$36</f>
        <v>#DIV/0!</v>
      </c>
      <c r="H231" s="365"/>
      <c r="I231" s="362"/>
      <c r="J231" s="362"/>
      <c r="K231" s="362"/>
      <c r="L231" s="362"/>
      <c r="M231" s="362"/>
      <c r="N231" s="362"/>
      <c r="O231" s="362"/>
    </row>
    <row r="232" spans="1:15" ht="15" x14ac:dyDescent="0.35">
      <c r="A232" s="362" t="s">
        <v>516</v>
      </c>
      <c r="B232" s="463" t="e">
        <f ca="1">PV($B$161,B223,-B231)</f>
        <v>#DIV/0!</v>
      </c>
      <c r="C232" s="362"/>
      <c r="D232" s="1709" t="s">
        <v>517</v>
      </c>
      <c r="E232" s="1709"/>
      <c r="F232" s="1709"/>
      <c r="G232" s="463" t="e">
        <f ca="1">PV($G$161,G223,-G231)</f>
        <v>#DIV/0!</v>
      </c>
      <c r="H232" s="365"/>
      <c r="I232" s="362"/>
      <c r="J232" s="362"/>
      <c r="K232" s="362"/>
      <c r="L232" s="362"/>
      <c r="M232" s="362"/>
      <c r="N232" s="362"/>
      <c r="O232" s="362"/>
    </row>
    <row r="233" spans="1:15" x14ac:dyDescent="0.35">
      <c r="A233" s="362"/>
      <c r="B233" s="362"/>
      <c r="C233" s="362"/>
      <c r="D233" s="1709" t="s">
        <v>518</v>
      </c>
      <c r="E233" s="1709"/>
      <c r="F233" s="1709"/>
      <c r="G233" s="463" t="e">
        <f ca="1">$G$36/G225</f>
        <v>#DIV/0!</v>
      </c>
      <c r="H233" s="365"/>
      <c r="I233" s="362"/>
      <c r="J233" s="362"/>
      <c r="K233" s="362"/>
      <c r="L233" s="362"/>
      <c r="M233" s="362"/>
      <c r="N233" s="362"/>
      <c r="O233" s="362"/>
    </row>
    <row r="234" spans="1:15" x14ac:dyDescent="0.35">
      <c r="A234" s="362"/>
      <c r="B234" s="362"/>
      <c r="C234" s="362"/>
      <c r="D234" s="1709" t="s">
        <v>519</v>
      </c>
      <c r="E234" s="1709"/>
      <c r="F234" s="1709"/>
      <c r="G234" s="463" t="e">
        <f ca="1">$G$162*$G$36</f>
        <v>#DIV/0!</v>
      </c>
      <c r="H234" s="365"/>
      <c r="I234" s="362"/>
      <c r="J234" s="362"/>
      <c r="K234" s="362"/>
      <c r="L234" s="362"/>
      <c r="M234" s="362"/>
      <c r="N234" s="362"/>
      <c r="O234" s="362"/>
    </row>
    <row r="235" spans="1:15" x14ac:dyDescent="0.35">
      <c r="A235" s="362"/>
      <c r="B235" s="362"/>
      <c r="C235" s="362"/>
      <c r="D235" s="1709" t="s">
        <v>520</v>
      </c>
      <c r="E235" s="1709"/>
      <c r="F235" s="1709"/>
      <c r="G235" s="463" t="e">
        <f ca="1">G233+G234</f>
        <v>#DIV/0!</v>
      </c>
      <c r="H235" s="365"/>
      <c r="I235" s="362"/>
      <c r="J235" s="362"/>
      <c r="K235" s="362"/>
      <c r="L235" s="362"/>
      <c r="M235" s="362"/>
      <c r="N235" s="362"/>
      <c r="O235" s="362"/>
    </row>
    <row r="236" spans="1:15" x14ac:dyDescent="0.35">
      <c r="A236" s="442" t="s">
        <v>521</v>
      </c>
      <c r="B236" s="463" t="e">
        <f ca="1">PMT($B$162,B225,-$G$36)</f>
        <v>#DIV/0!</v>
      </c>
      <c r="C236" s="362"/>
      <c r="D236" s="1709" t="s">
        <v>522</v>
      </c>
      <c r="E236" s="1709"/>
      <c r="F236" s="1709"/>
      <c r="G236" s="515" t="e">
        <f ca="1">-G233*$G$162</f>
        <v>#DIV/0!</v>
      </c>
      <c r="H236" s="365"/>
      <c r="I236" s="362"/>
      <c r="J236" s="362"/>
      <c r="K236" s="362"/>
      <c r="L236" s="362"/>
      <c r="M236" s="362"/>
      <c r="N236" s="362"/>
      <c r="O236" s="362"/>
    </row>
    <row r="237" spans="1:15" ht="15" x14ac:dyDescent="0.35">
      <c r="A237" s="442" t="s">
        <v>523</v>
      </c>
      <c r="B237" s="463" t="e">
        <f ca="1">PV($B$161,B225,-B236)*B226</f>
        <v>#DIV/0!</v>
      </c>
      <c r="C237" s="362"/>
      <c r="D237" s="1709" t="s">
        <v>524</v>
      </c>
      <c r="E237" s="1709"/>
      <c r="F237" s="1709"/>
      <c r="G237" s="463" t="e">
        <f ca="1">(G235*G229+G236*(G230-(G225-1)*G228)/$G$161)*G226</f>
        <v>#DIV/0!</v>
      </c>
      <c r="H237" s="365"/>
      <c r="I237" s="362"/>
      <c r="J237" s="362"/>
      <c r="K237" s="362"/>
      <c r="L237" s="362"/>
      <c r="M237" s="362"/>
      <c r="N237" s="362"/>
      <c r="O237" s="362"/>
    </row>
    <row r="238" spans="1:15" ht="15" thickBot="1" x14ac:dyDescent="0.4">
      <c r="A238" s="442" t="s">
        <v>525</v>
      </c>
      <c r="B238" s="463" t="e">
        <f ca="1">B232+B237</f>
        <v>#DIV/0!</v>
      </c>
      <c r="C238" s="362"/>
      <c r="D238" s="1718" t="s">
        <v>526</v>
      </c>
      <c r="E238" s="1718"/>
      <c r="F238" s="1718"/>
      <c r="G238" s="463" t="e">
        <f ca="1">G232+G237</f>
        <v>#DIV/0!</v>
      </c>
      <c r="H238" s="365"/>
      <c r="I238" s="362"/>
      <c r="J238" s="362"/>
      <c r="K238" s="362"/>
      <c r="L238" s="362"/>
      <c r="M238" s="362"/>
      <c r="N238" s="362"/>
      <c r="O238" s="362"/>
    </row>
    <row r="239" spans="1:15" ht="16.5" thickTop="1" thickBot="1" x14ac:dyDescent="0.4">
      <c r="A239" s="533" t="s">
        <v>527</v>
      </c>
      <c r="B239" s="534">
        <f>IF(B225&lt;=0,0,($G$36-B238)*B227)</f>
        <v>0</v>
      </c>
      <c r="C239" s="362"/>
      <c r="D239" s="1726" t="s">
        <v>527</v>
      </c>
      <c r="E239" s="1727"/>
      <c r="F239" s="1727"/>
      <c r="G239" s="534">
        <f>IF(G225&lt;=0,0,($G$36-G238)*G227)</f>
        <v>0</v>
      </c>
      <c r="H239" s="365"/>
      <c r="I239" s="362"/>
      <c r="J239" s="362"/>
      <c r="K239" s="362"/>
      <c r="L239" s="362"/>
      <c r="M239" s="362"/>
      <c r="N239" s="362"/>
      <c r="O239" s="362"/>
    </row>
    <row r="240" spans="1:15" ht="15" thickTop="1" x14ac:dyDescent="0.35">
      <c r="A240" s="362"/>
      <c r="B240" s="362"/>
      <c r="C240" s="362"/>
      <c r="D240" s="442"/>
      <c r="E240" s="442"/>
      <c r="F240" s="442"/>
      <c r="G240" s="526"/>
      <c r="H240" s="365"/>
      <c r="I240" s="362"/>
      <c r="J240" s="362"/>
      <c r="K240" s="362"/>
      <c r="L240" s="362"/>
      <c r="M240" s="362"/>
      <c r="N240" s="362"/>
      <c r="O240" s="362"/>
    </row>
    <row r="241" spans="1:15" x14ac:dyDescent="0.35">
      <c r="A241" s="528" t="s">
        <v>534</v>
      </c>
      <c r="B241" s="529" t="e">
        <f ca="1">$H$36</f>
        <v>#DIV/0!</v>
      </c>
      <c r="C241" s="362"/>
      <c r="D241" s="1721" t="s">
        <v>534</v>
      </c>
      <c r="E241" s="1722"/>
      <c r="F241" s="1722"/>
      <c r="G241" s="529" t="e">
        <f ca="1">$H$36</f>
        <v>#DIV/0!</v>
      </c>
      <c r="H241" s="365"/>
      <c r="I241" s="362"/>
      <c r="J241" s="362"/>
      <c r="K241" s="362"/>
      <c r="L241" s="362"/>
      <c r="M241" s="362"/>
      <c r="N241" s="362"/>
      <c r="O241" s="362"/>
    </row>
    <row r="242" spans="1:15" x14ac:dyDescent="0.35">
      <c r="A242" s="362" t="s">
        <v>505</v>
      </c>
      <c r="B242" s="510">
        <f>IF($D$13*$D$14-4*$D$14&gt;0,$D$13*$D$14-4*$D$14,0)</f>
        <v>0</v>
      </c>
      <c r="C242" s="362"/>
      <c r="D242" s="1717" t="s">
        <v>505</v>
      </c>
      <c r="E242" s="1717"/>
      <c r="F242" s="1717"/>
      <c r="G242" s="510">
        <f>IF($D$13*$D$14-4*$D$14&gt;0,$D$13*$D$14-4*$D$14,0)</f>
        <v>0</v>
      </c>
      <c r="H242" s="365"/>
      <c r="I242" s="362"/>
      <c r="J242" s="362"/>
      <c r="K242" s="362"/>
      <c r="L242" s="362"/>
      <c r="M242" s="362"/>
      <c r="N242" s="362"/>
      <c r="O242" s="362"/>
    </row>
    <row r="243" spans="1:15" x14ac:dyDescent="0.35">
      <c r="A243" s="362" t="s">
        <v>506</v>
      </c>
      <c r="B243" s="510">
        <f>($H$26-$D$26)*$D$14</f>
        <v>0</v>
      </c>
      <c r="C243" s="362"/>
      <c r="D243" s="1690" t="s">
        <v>506</v>
      </c>
      <c r="E243" s="1690"/>
      <c r="F243" s="1690"/>
      <c r="G243" s="510">
        <f>($H$26-$D$26)*$D$14</f>
        <v>0</v>
      </c>
      <c r="H243" s="365"/>
      <c r="I243" s="362"/>
      <c r="J243" s="362"/>
      <c r="K243" s="362"/>
      <c r="L243" s="362"/>
      <c r="M243" s="362"/>
      <c r="N243" s="362"/>
      <c r="O243" s="362"/>
    </row>
    <row r="244" spans="1:15" x14ac:dyDescent="0.35">
      <c r="A244" s="362" t="s">
        <v>507</v>
      </c>
      <c r="B244" s="513">
        <f>$B$163*$D$14-B242-B243</f>
        <v>0</v>
      </c>
      <c r="C244" s="362"/>
      <c r="D244" s="1690" t="s">
        <v>507</v>
      </c>
      <c r="E244" s="1690"/>
      <c r="F244" s="1690"/>
      <c r="G244" s="513">
        <f>$G$163*$D$14-G242-G243</f>
        <v>0</v>
      </c>
      <c r="H244" s="365"/>
      <c r="I244" s="362"/>
      <c r="J244" s="362"/>
      <c r="K244" s="362"/>
      <c r="L244" s="362"/>
      <c r="M244" s="362"/>
      <c r="N244" s="362"/>
      <c r="O244" s="362"/>
    </row>
    <row r="245" spans="1:15" ht="15.5" x14ac:dyDescent="0.35">
      <c r="A245" s="362" t="s">
        <v>508</v>
      </c>
      <c r="B245" s="516" t="e">
        <f>(1+$B$161)^-B242</f>
        <v>#DIV/0!</v>
      </c>
      <c r="C245" s="362"/>
      <c r="D245" s="1709" t="s">
        <v>509</v>
      </c>
      <c r="E245" s="1709"/>
      <c r="F245" s="1709"/>
      <c r="G245" s="515" t="e">
        <f>(1+$G$161)^-G242</f>
        <v>#DIV/0!</v>
      </c>
      <c r="H245" s="365"/>
      <c r="I245" s="362"/>
      <c r="J245" s="362"/>
      <c r="K245" s="362"/>
      <c r="L245" s="362"/>
      <c r="M245" s="362"/>
      <c r="N245" s="362"/>
      <c r="O245" s="362"/>
    </row>
    <row r="246" spans="1:15" ht="15.5" x14ac:dyDescent="0.35">
      <c r="A246" s="362" t="s">
        <v>510</v>
      </c>
      <c r="B246" s="516" t="e">
        <f>(1+$B$161)^-B243</f>
        <v>#DIV/0!</v>
      </c>
      <c r="C246" s="362"/>
      <c r="D246" s="1690" t="s">
        <v>511</v>
      </c>
      <c r="E246" s="1690"/>
      <c r="F246" s="1690"/>
      <c r="G246" s="515" t="e">
        <f>(1+$G$161)^-G243</f>
        <v>#DIV/0!</v>
      </c>
      <c r="H246" s="365"/>
      <c r="I246" s="362"/>
      <c r="J246" s="362"/>
      <c r="K246" s="362"/>
      <c r="L246" s="362"/>
      <c r="M246" s="362"/>
      <c r="N246" s="362"/>
      <c r="O246" s="362"/>
    </row>
    <row r="247" spans="1:15" ht="15.5" x14ac:dyDescent="0.35">
      <c r="A247" s="362"/>
      <c r="B247" s="362"/>
      <c r="C247" s="362"/>
      <c r="D247" s="1709" t="s">
        <v>537</v>
      </c>
      <c r="E247" s="1709"/>
      <c r="F247" s="1709"/>
      <c r="G247" s="515" t="e">
        <f>(1+$G$161)^-G244</f>
        <v>#DIV/0!</v>
      </c>
      <c r="H247" s="365"/>
      <c r="I247" s="362"/>
      <c r="J247" s="362"/>
      <c r="K247" s="362"/>
      <c r="L247" s="362"/>
      <c r="M247" s="362"/>
      <c r="N247" s="362"/>
      <c r="O247" s="362"/>
    </row>
    <row r="248" spans="1:15" ht="15" x14ac:dyDescent="0.35">
      <c r="A248" s="362"/>
      <c r="B248" s="362"/>
      <c r="C248" s="362"/>
      <c r="D248" s="1709" t="s">
        <v>513</v>
      </c>
      <c r="E248" s="1709"/>
      <c r="F248" s="1709"/>
      <c r="G248" s="515" t="e">
        <f>PV($G$161,G244,-1)</f>
        <v>#DIV/0!</v>
      </c>
      <c r="H248" s="365"/>
      <c r="I248" s="362"/>
      <c r="J248" s="362"/>
      <c r="K248" s="362"/>
      <c r="L248" s="362"/>
      <c r="M248" s="362"/>
      <c r="N248" s="362"/>
      <c r="O248" s="362"/>
    </row>
    <row r="249" spans="1:15" ht="15" x14ac:dyDescent="0.35">
      <c r="A249" s="362"/>
      <c r="B249" s="362"/>
      <c r="C249" s="362"/>
      <c r="D249" s="1709" t="s">
        <v>514</v>
      </c>
      <c r="E249" s="1709"/>
      <c r="F249" s="1709"/>
      <c r="G249" s="515" t="e">
        <f>PV($G$161,G244-1,-1)</f>
        <v>#DIV/0!</v>
      </c>
      <c r="H249" s="365"/>
      <c r="I249" s="362"/>
      <c r="J249" s="362"/>
      <c r="K249" s="362"/>
      <c r="L249" s="362"/>
      <c r="M249" s="362"/>
      <c r="N249" s="362"/>
      <c r="O249" s="362"/>
    </row>
    <row r="250" spans="1:15" x14ac:dyDescent="0.35">
      <c r="A250" s="362" t="s">
        <v>515</v>
      </c>
      <c r="B250" s="463" t="e">
        <f ca="1">$B$162*$H$36</f>
        <v>#DIV/0!</v>
      </c>
      <c r="C250" s="362"/>
      <c r="D250" s="1690" t="s">
        <v>515</v>
      </c>
      <c r="E250" s="1690"/>
      <c r="F250" s="1690"/>
      <c r="G250" s="463" t="e">
        <f ca="1">$G$162*$H$36</f>
        <v>#DIV/0!</v>
      </c>
      <c r="H250" s="365"/>
      <c r="I250" s="362"/>
      <c r="J250" s="362"/>
      <c r="K250" s="362"/>
      <c r="L250" s="362"/>
      <c r="M250" s="362"/>
      <c r="N250" s="362"/>
      <c r="O250" s="362"/>
    </row>
    <row r="251" spans="1:15" ht="15" x14ac:dyDescent="0.35">
      <c r="A251" s="362" t="s">
        <v>516</v>
      </c>
      <c r="B251" s="463" t="e">
        <f ca="1">PV($B$161,B242,-B250)</f>
        <v>#DIV/0!</v>
      </c>
      <c r="C251" s="362"/>
      <c r="D251" s="1709" t="s">
        <v>517</v>
      </c>
      <c r="E251" s="1709"/>
      <c r="F251" s="1709"/>
      <c r="G251" s="463" t="e">
        <f ca="1">PV($G$161,G242,-G250)</f>
        <v>#DIV/0!</v>
      </c>
      <c r="H251" s="365"/>
      <c r="I251" s="362"/>
      <c r="J251" s="362"/>
      <c r="K251" s="362"/>
      <c r="L251" s="362"/>
      <c r="M251" s="362"/>
      <c r="N251" s="362"/>
      <c r="O251" s="362"/>
    </row>
    <row r="252" spans="1:15" x14ac:dyDescent="0.35">
      <c r="A252" s="362"/>
      <c r="B252" s="362"/>
      <c r="C252" s="362"/>
      <c r="D252" s="1709" t="s">
        <v>518</v>
      </c>
      <c r="E252" s="1709"/>
      <c r="F252" s="1709"/>
      <c r="G252" s="463" t="e">
        <f ca="1">$H$36/G244</f>
        <v>#DIV/0!</v>
      </c>
      <c r="H252" s="365"/>
      <c r="I252" s="362"/>
      <c r="J252" s="362"/>
      <c r="K252" s="362"/>
      <c r="L252" s="362"/>
      <c r="M252" s="362"/>
      <c r="N252" s="362"/>
      <c r="O252" s="362"/>
    </row>
    <row r="253" spans="1:15" x14ac:dyDescent="0.35">
      <c r="A253" s="362"/>
      <c r="B253" s="362"/>
      <c r="C253" s="362"/>
      <c r="D253" s="1709" t="s">
        <v>519</v>
      </c>
      <c r="E253" s="1709"/>
      <c r="F253" s="1709"/>
      <c r="G253" s="463" t="e">
        <f ca="1">$G$162*$H$36</f>
        <v>#DIV/0!</v>
      </c>
      <c r="H253" s="365"/>
      <c r="I253" s="362"/>
      <c r="J253" s="362"/>
      <c r="K253" s="362"/>
      <c r="L253" s="362"/>
      <c r="M253" s="362"/>
      <c r="N253" s="362"/>
      <c r="O253" s="362"/>
    </row>
    <row r="254" spans="1:15" x14ac:dyDescent="0.35">
      <c r="A254" s="362"/>
      <c r="B254" s="362"/>
      <c r="C254" s="362"/>
      <c r="D254" s="1709" t="s">
        <v>520</v>
      </c>
      <c r="E254" s="1709"/>
      <c r="F254" s="1709"/>
      <c r="G254" s="463" t="e">
        <f ca="1">G252+G253</f>
        <v>#DIV/0!</v>
      </c>
      <c r="H254" s="365"/>
      <c r="I254" s="362"/>
      <c r="J254" s="362"/>
      <c r="K254" s="362"/>
      <c r="L254" s="362"/>
      <c r="M254" s="362"/>
      <c r="N254" s="362"/>
      <c r="O254" s="362"/>
    </row>
    <row r="255" spans="1:15" x14ac:dyDescent="0.35">
      <c r="A255" s="442" t="s">
        <v>521</v>
      </c>
      <c r="B255" s="463" t="e">
        <f ca="1">PMT($B$162,B244,-$H$36)</f>
        <v>#DIV/0!</v>
      </c>
      <c r="C255" s="362"/>
      <c r="D255" s="1709" t="s">
        <v>522</v>
      </c>
      <c r="E255" s="1709"/>
      <c r="F255" s="1709"/>
      <c r="G255" s="515" t="e">
        <f ca="1">-G252*$G$162</f>
        <v>#DIV/0!</v>
      </c>
      <c r="H255" s="365"/>
      <c r="I255" s="362"/>
      <c r="J255" s="362"/>
      <c r="K255" s="362"/>
      <c r="L255" s="362"/>
      <c r="M255" s="362"/>
      <c r="N255" s="362"/>
      <c r="O255" s="362"/>
    </row>
    <row r="256" spans="1:15" ht="15" x14ac:dyDescent="0.35">
      <c r="A256" s="442" t="s">
        <v>523</v>
      </c>
      <c r="B256" s="463" t="e">
        <f ca="1">PV($B$161,B244,-B255)*B245</f>
        <v>#DIV/0!</v>
      </c>
      <c r="C256" s="362"/>
      <c r="D256" s="1709" t="s">
        <v>524</v>
      </c>
      <c r="E256" s="1709"/>
      <c r="F256" s="1709"/>
      <c r="G256" s="463" t="e">
        <f ca="1">(G254*G248+G255*(G249-(G244-1)*G247)/$G$161)*G245</f>
        <v>#DIV/0!</v>
      </c>
      <c r="H256" s="365"/>
      <c r="I256" s="362"/>
      <c r="J256" s="362"/>
      <c r="K256" s="362"/>
      <c r="L256" s="362"/>
      <c r="M256" s="362"/>
      <c r="N256" s="362"/>
      <c r="O256" s="362"/>
    </row>
    <row r="257" spans="1:15" ht="15" thickBot="1" x14ac:dyDescent="0.4">
      <c r="A257" s="442" t="s">
        <v>525</v>
      </c>
      <c r="B257" s="463" t="e">
        <f ca="1">B251+B256</f>
        <v>#DIV/0!</v>
      </c>
      <c r="C257" s="362"/>
      <c r="D257" s="1718" t="s">
        <v>526</v>
      </c>
      <c r="E257" s="1718"/>
      <c r="F257" s="1718"/>
      <c r="G257" s="463" t="e">
        <f ca="1">G251+G256</f>
        <v>#DIV/0!</v>
      </c>
      <c r="H257" s="365"/>
      <c r="I257" s="362"/>
      <c r="J257" s="362"/>
      <c r="K257" s="362"/>
      <c r="L257" s="362"/>
      <c r="M257" s="362"/>
      <c r="N257" s="362"/>
      <c r="O257" s="362"/>
    </row>
    <row r="258" spans="1:15" ht="16.5" thickTop="1" thickBot="1" x14ac:dyDescent="0.4">
      <c r="A258" s="533" t="s">
        <v>527</v>
      </c>
      <c r="B258" s="534">
        <f>IF(B244&lt;=0,0,($H$36-B257)*B246)</f>
        <v>0</v>
      </c>
      <c r="C258" s="362"/>
      <c r="D258" s="1726" t="s">
        <v>527</v>
      </c>
      <c r="E258" s="1727"/>
      <c r="F258" s="1727"/>
      <c r="G258" s="534">
        <f>IF(G244&lt;=0,0,($H$36-G257)*G246)</f>
        <v>0</v>
      </c>
      <c r="H258" s="365"/>
      <c r="I258" s="362"/>
      <c r="J258" s="362"/>
      <c r="K258" s="362"/>
      <c r="L258" s="362"/>
      <c r="M258" s="362"/>
      <c r="N258" s="362"/>
      <c r="O258" s="362"/>
    </row>
    <row r="259" spans="1:15" ht="15" thickTop="1" x14ac:dyDescent="0.35">
      <c r="A259" s="362"/>
      <c r="B259" s="362"/>
      <c r="C259" s="362"/>
      <c r="D259" s="442"/>
      <c r="E259" s="442"/>
      <c r="F259" s="442"/>
      <c r="G259" s="526"/>
      <c r="H259" s="365"/>
      <c r="I259" s="362"/>
      <c r="J259" s="362"/>
      <c r="K259" s="362"/>
      <c r="L259" s="362"/>
      <c r="M259" s="362"/>
      <c r="N259" s="362"/>
      <c r="O259" s="362"/>
    </row>
    <row r="260" spans="1:15" x14ac:dyDescent="0.35">
      <c r="A260" s="442"/>
      <c r="B260" s="463"/>
      <c r="C260" s="362"/>
      <c r="D260" s="442"/>
      <c r="E260" s="442"/>
      <c r="F260" s="362"/>
      <c r="G260" s="515"/>
      <c r="H260" s="365"/>
      <c r="I260" s="362"/>
      <c r="J260" s="362"/>
      <c r="K260" s="362"/>
      <c r="L260" s="362"/>
      <c r="M260" s="362"/>
      <c r="N260" s="362"/>
      <c r="O260" s="362"/>
    </row>
    <row r="261" spans="1:15" ht="15" x14ac:dyDescent="0.35">
      <c r="A261" s="535" t="s">
        <v>538</v>
      </c>
      <c r="B261" s="506"/>
      <c r="C261" s="506"/>
      <c r="D261" s="1729" t="s">
        <v>538</v>
      </c>
      <c r="E261" s="1730"/>
      <c r="F261" s="1731"/>
      <c r="G261" s="515"/>
      <c r="H261" s="365"/>
      <c r="I261" s="362"/>
      <c r="J261" s="362"/>
      <c r="K261" s="362"/>
      <c r="L261" s="362"/>
      <c r="M261" s="362"/>
      <c r="N261" s="362"/>
      <c r="O261" s="362"/>
    </row>
    <row r="262" spans="1:15" x14ac:dyDescent="0.35">
      <c r="A262" s="536" t="s">
        <v>539</v>
      </c>
      <c r="B262" s="362"/>
      <c r="C262" s="362"/>
      <c r="D262" s="1732" t="s">
        <v>539</v>
      </c>
      <c r="E262" s="1733"/>
      <c r="F262" s="1734"/>
      <c r="G262" s="362"/>
      <c r="H262" s="365"/>
      <c r="I262" s="362"/>
      <c r="J262" s="362"/>
      <c r="K262" s="362"/>
      <c r="L262" s="362"/>
      <c r="M262" s="362"/>
      <c r="N262" s="362"/>
      <c r="O262" s="362"/>
    </row>
    <row r="263" spans="1:15" ht="15" x14ac:dyDescent="0.35">
      <c r="A263" s="362" t="s">
        <v>540</v>
      </c>
      <c r="B263" s="509">
        <f>((1+$D$19)^(1/$D$17))-1</f>
        <v>4.0418317979087348E-3</v>
      </c>
      <c r="C263" s="362"/>
      <c r="D263" s="1690" t="s">
        <v>540</v>
      </c>
      <c r="E263" s="1690"/>
      <c r="F263" s="1690"/>
      <c r="G263" s="509">
        <f>((1+$D$19)^(1/$D$17))-1</f>
        <v>4.0418317979087348E-3</v>
      </c>
      <c r="H263" s="365"/>
      <c r="I263" s="362"/>
      <c r="J263" s="362"/>
      <c r="K263" s="362"/>
      <c r="L263" s="362"/>
      <c r="M263" s="362"/>
      <c r="N263" s="362"/>
      <c r="O263" s="362"/>
    </row>
    <row r="264" spans="1:15" ht="15" x14ac:dyDescent="0.35">
      <c r="A264" s="362" t="s">
        <v>541</v>
      </c>
      <c r="B264" s="509">
        <f ca="1">(1+$D$7)^(1/$D$17)-1</f>
        <v>4.0418317978589968E-3</v>
      </c>
      <c r="C264" s="362"/>
      <c r="D264" s="1690" t="s">
        <v>541</v>
      </c>
      <c r="E264" s="1690"/>
      <c r="F264" s="1690"/>
      <c r="G264" s="509">
        <f ca="1">(1+$D$7)^(1/$D$17)-1</f>
        <v>4.0418317978589968E-3</v>
      </c>
      <c r="H264" s="365"/>
      <c r="I264" s="362"/>
      <c r="J264" s="362"/>
      <c r="K264" s="362"/>
      <c r="L264" s="362"/>
      <c r="M264" s="362"/>
      <c r="N264" s="362"/>
      <c r="O264" s="362"/>
    </row>
    <row r="265" spans="1:15" x14ac:dyDescent="0.35">
      <c r="A265" s="362" t="s">
        <v>542</v>
      </c>
      <c r="B265" s="510">
        <f>$D$15+$D$16</f>
        <v>12</v>
      </c>
      <c r="C265" s="362"/>
      <c r="D265" s="1690" t="s">
        <v>542</v>
      </c>
      <c r="E265" s="1690"/>
      <c r="F265" s="1690"/>
      <c r="G265" s="510">
        <f>$D$15+$D$16</f>
        <v>12</v>
      </c>
      <c r="H265" s="365"/>
      <c r="I265" s="362"/>
      <c r="J265" s="362"/>
      <c r="K265" s="362"/>
      <c r="L265" s="362"/>
      <c r="M265" s="362"/>
      <c r="N265" s="362"/>
      <c r="O265" s="362"/>
    </row>
    <row r="266" spans="1:15" x14ac:dyDescent="0.35">
      <c r="A266" s="362"/>
      <c r="B266" s="510"/>
      <c r="C266" s="362"/>
      <c r="D266" s="537"/>
      <c r="E266" s="537"/>
      <c r="F266" s="537"/>
      <c r="G266" s="510"/>
      <c r="H266" s="365"/>
      <c r="I266" s="362"/>
      <c r="J266" s="362"/>
      <c r="K266" s="362"/>
      <c r="L266" s="362"/>
      <c r="M266" s="362"/>
      <c r="N266" s="362"/>
      <c r="O266" s="362"/>
    </row>
    <row r="267" spans="1:15" x14ac:dyDescent="0.35">
      <c r="A267" s="538" t="s">
        <v>543</v>
      </c>
      <c r="B267" s="539">
        <f>$D$37</f>
        <v>0</v>
      </c>
      <c r="C267" s="362"/>
      <c r="D267" s="1735" t="s">
        <v>543</v>
      </c>
      <c r="E267" s="1736"/>
      <c r="F267" s="1736"/>
      <c r="G267" s="539">
        <f>$D$37</f>
        <v>0</v>
      </c>
      <c r="H267" s="365"/>
      <c r="I267" s="362"/>
      <c r="J267" s="362"/>
      <c r="K267" s="362"/>
      <c r="L267" s="362"/>
      <c r="M267" s="362"/>
      <c r="N267" s="362"/>
      <c r="O267" s="362"/>
    </row>
    <row r="268" spans="1:15" x14ac:dyDescent="0.35">
      <c r="A268" s="362" t="s">
        <v>505</v>
      </c>
      <c r="B268" s="510">
        <f>IF($D$16*$D$17-0*$D$17&gt;0,$D$16*$D$17-0*$D$17,0)</f>
        <v>4</v>
      </c>
      <c r="C268" s="362"/>
      <c r="D268" s="1690" t="s">
        <v>505</v>
      </c>
      <c r="E268" s="1690"/>
      <c r="F268" s="1690"/>
      <c r="G268" s="510">
        <f>IF($D$16*$D$17-0*$D$17&gt;0,$D$16*$D$17-0*$D$17,0)</f>
        <v>4</v>
      </c>
      <c r="H268" s="365"/>
      <c r="I268" s="362"/>
      <c r="J268" s="362"/>
      <c r="K268" s="362"/>
      <c r="L268" s="362"/>
      <c r="M268" s="362"/>
      <c r="N268" s="362"/>
      <c r="O268" s="362"/>
    </row>
    <row r="269" spans="1:15" x14ac:dyDescent="0.35">
      <c r="A269" s="362" t="s">
        <v>506</v>
      </c>
      <c r="B269" s="510">
        <f>($D$26-$D$26)*$D$17</f>
        <v>0</v>
      </c>
      <c r="C269" s="362"/>
      <c r="D269" s="1690" t="s">
        <v>506</v>
      </c>
      <c r="E269" s="1690"/>
      <c r="F269" s="1690"/>
      <c r="G269" s="510">
        <f>($D$26-$D$26)*$D$17</f>
        <v>0</v>
      </c>
      <c r="H269" s="365"/>
      <c r="I269" s="362"/>
      <c r="J269" s="362"/>
      <c r="K269" s="362"/>
      <c r="L269" s="362"/>
      <c r="M269" s="362"/>
      <c r="N269" s="362"/>
      <c r="O269" s="362"/>
    </row>
    <row r="270" spans="1:15" x14ac:dyDescent="0.35">
      <c r="A270" s="362" t="s">
        <v>507</v>
      </c>
      <c r="B270" s="513">
        <f>$B$265*$D$17-B268-B269</f>
        <v>20</v>
      </c>
      <c r="C270" s="362"/>
      <c r="D270" s="1690" t="s">
        <v>507</v>
      </c>
      <c r="E270" s="1690"/>
      <c r="F270" s="1690"/>
      <c r="G270" s="513">
        <f>$B$265*$D$17-G268-G269</f>
        <v>20</v>
      </c>
      <c r="H270" s="365"/>
      <c r="I270" s="362"/>
      <c r="J270" s="362"/>
      <c r="K270" s="362"/>
      <c r="L270" s="362"/>
      <c r="M270" s="362"/>
      <c r="N270" s="362"/>
      <c r="O270" s="362"/>
    </row>
    <row r="271" spans="1:15" ht="15.5" x14ac:dyDescent="0.35">
      <c r="A271" s="362" t="s">
        <v>508</v>
      </c>
      <c r="B271" s="540">
        <f>(1+$B$263)^-B268</f>
        <v>0.9839947255519168</v>
      </c>
      <c r="C271" s="362"/>
      <c r="D271" s="1709" t="s">
        <v>509</v>
      </c>
      <c r="E271" s="1709"/>
      <c r="F271" s="1709"/>
      <c r="G271" s="540">
        <f>(1+$G$263)^-G268</f>
        <v>0.9839947255519168</v>
      </c>
      <c r="H271" s="365"/>
      <c r="I271" s="362"/>
      <c r="J271" s="362"/>
      <c r="K271" s="362"/>
      <c r="L271" s="362"/>
      <c r="M271" s="362"/>
      <c r="N271" s="362"/>
      <c r="O271" s="362"/>
    </row>
    <row r="272" spans="1:15" ht="15.5" x14ac:dyDescent="0.35">
      <c r="A272" s="362" t="s">
        <v>510</v>
      </c>
      <c r="B272" s="540">
        <f>(1+$B$263)^-B269</f>
        <v>1</v>
      </c>
      <c r="C272" s="362"/>
      <c r="D272" s="1690" t="s">
        <v>511</v>
      </c>
      <c r="E272" s="1690"/>
      <c r="F272" s="1690"/>
      <c r="G272" s="540">
        <f>(1+$G$263)^-G269</f>
        <v>1</v>
      </c>
      <c r="H272" s="365"/>
      <c r="I272" s="362"/>
      <c r="J272" s="362"/>
      <c r="K272" s="362"/>
      <c r="L272" s="362"/>
      <c r="M272" s="362"/>
      <c r="N272" s="362"/>
      <c r="O272" s="362"/>
    </row>
    <row r="273" spans="1:15" ht="15" x14ac:dyDescent="0.35">
      <c r="A273" s="442" t="s">
        <v>544</v>
      </c>
      <c r="B273" s="463">
        <f ca="1">$B$264*$D$37</f>
        <v>0</v>
      </c>
      <c r="C273" s="362"/>
      <c r="D273" s="1709" t="s">
        <v>545</v>
      </c>
      <c r="E273" s="1709"/>
      <c r="F273" s="1709"/>
      <c r="G273" s="463">
        <f ca="1">$G$264*$D$37</f>
        <v>0</v>
      </c>
      <c r="H273" s="365"/>
      <c r="I273" s="362"/>
      <c r="J273" s="362"/>
      <c r="K273" s="362"/>
      <c r="L273" s="362"/>
      <c r="M273" s="362"/>
      <c r="N273" s="362"/>
      <c r="O273" s="362"/>
    </row>
    <row r="274" spans="1:15" x14ac:dyDescent="0.35">
      <c r="A274" s="442" t="s">
        <v>546</v>
      </c>
      <c r="B274" s="463">
        <f ca="1">PMT($B$264,B270,-$D$37)</f>
        <v>0</v>
      </c>
      <c r="C274" s="362"/>
      <c r="D274" s="1706" t="s">
        <v>518</v>
      </c>
      <c r="E274" s="1706"/>
      <c r="F274" s="1706"/>
      <c r="G274" s="463">
        <f>$D$37/G270</f>
        <v>0</v>
      </c>
      <c r="H274" s="365"/>
      <c r="I274" s="362"/>
      <c r="J274" s="362"/>
      <c r="K274" s="362"/>
      <c r="L274" s="362"/>
      <c r="M274" s="362"/>
      <c r="N274" s="362"/>
      <c r="O274" s="362"/>
    </row>
    <row r="275" spans="1:15" ht="15" x14ac:dyDescent="0.35">
      <c r="A275" s="362" t="s">
        <v>547</v>
      </c>
      <c r="B275" s="541">
        <f>PV($B$263,B270,-1)</f>
        <v>19.175799853437329</v>
      </c>
      <c r="C275" s="362"/>
      <c r="D275" s="1690" t="s">
        <v>547</v>
      </c>
      <c r="E275" s="1690"/>
      <c r="F275" s="1690"/>
      <c r="G275" s="541">
        <f>PV($G$263,G270,-1)</f>
        <v>19.175799853437329</v>
      </c>
      <c r="H275" s="365"/>
      <c r="I275" s="362"/>
      <c r="J275" s="362"/>
      <c r="K275" s="362"/>
      <c r="L275" s="362"/>
      <c r="M275" s="362"/>
      <c r="N275" s="362"/>
      <c r="O275" s="362"/>
    </row>
    <row r="276" spans="1:15" ht="15.5" thickBot="1" x14ac:dyDescent="0.4">
      <c r="A276" s="362" t="s">
        <v>548</v>
      </c>
      <c r="B276" s="541">
        <f>PV($B$263,B268,-1)</f>
        <v>3.9599061139467451</v>
      </c>
      <c r="C276" s="362"/>
      <c r="D276" s="1737" t="s">
        <v>549</v>
      </c>
      <c r="E276" s="1737"/>
      <c r="F276" s="1737"/>
      <c r="G276" s="541">
        <f>PV($G$263,G268,-1)</f>
        <v>3.9599061139467451</v>
      </c>
      <c r="H276" s="365"/>
      <c r="I276" s="362"/>
      <c r="J276" s="362"/>
      <c r="K276" s="362"/>
      <c r="L276" s="362"/>
      <c r="M276" s="362"/>
      <c r="N276" s="362"/>
      <c r="O276" s="362"/>
    </row>
    <row r="277" spans="1:15" ht="16.5" thickTop="1" thickBot="1" x14ac:dyDescent="0.4">
      <c r="A277" s="542" t="s">
        <v>550</v>
      </c>
      <c r="B277" s="543">
        <f ca="1">(($B$264/($B$263-$B$264)*($D$37-B274*B275))*B271+B273*B276)*B272</f>
        <v>0</v>
      </c>
      <c r="C277" s="362"/>
      <c r="D277" s="1738" t="s">
        <v>550</v>
      </c>
      <c r="E277" s="1739"/>
      <c r="F277" s="1739"/>
      <c r="G277" s="543">
        <f ca="1">(($G$264/$G$263*G274*(G270-G275))*G271+G273*G276)*G272</f>
        <v>0</v>
      </c>
      <c r="H277" s="365"/>
      <c r="I277" s="362"/>
      <c r="J277" s="362"/>
      <c r="K277" s="362"/>
      <c r="L277" s="362"/>
      <c r="M277" s="362"/>
      <c r="N277" s="362"/>
      <c r="O277" s="362"/>
    </row>
    <row r="278" spans="1:15" ht="15" thickTop="1" x14ac:dyDescent="0.35">
      <c r="A278" s="362"/>
      <c r="B278" s="362"/>
      <c r="C278" s="362"/>
      <c r="D278" s="362"/>
      <c r="E278" s="362"/>
      <c r="F278" s="362"/>
      <c r="G278" s="362"/>
      <c r="H278" s="365"/>
      <c r="I278" s="362"/>
      <c r="J278" s="362"/>
      <c r="K278" s="362"/>
      <c r="L278" s="362"/>
      <c r="M278" s="362"/>
      <c r="N278" s="362"/>
      <c r="O278" s="362"/>
    </row>
    <row r="279" spans="1:15" x14ac:dyDescent="0.35">
      <c r="A279" s="538" t="s">
        <v>528</v>
      </c>
      <c r="B279" s="539">
        <f>$E$37</f>
        <v>0</v>
      </c>
      <c r="C279" s="362"/>
      <c r="D279" s="1735" t="s">
        <v>528</v>
      </c>
      <c r="E279" s="1736"/>
      <c r="F279" s="1736"/>
      <c r="G279" s="539">
        <f>$E$37</f>
        <v>0</v>
      </c>
      <c r="H279" s="365"/>
      <c r="I279" s="362"/>
      <c r="J279" s="362"/>
      <c r="K279" s="362"/>
      <c r="L279" s="362"/>
      <c r="M279" s="362"/>
      <c r="N279" s="362"/>
      <c r="O279" s="362"/>
    </row>
    <row r="280" spans="1:15" x14ac:dyDescent="0.35">
      <c r="A280" s="362" t="s">
        <v>505</v>
      </c>
      <c r="B280" s="510">
        <f>IF($D$16*$D$17-1*$D$17&gt;0,$D$16*$D$17-1*$D$17,0)</f>
        <v>2</v>
      </c>
      <c r="C280" s="362"/>
      <c r="D280" s="1690" t="s">
        <v>505</v>
      </c>
      <c r="E280" s="1690"/>
      <c r="F280" s="1690"/>
      <c r="G280" s="510">
        <f>IF($D$16*$D$17-1*$D$17&gt;0,$D$16*$D$17-1*$D$17,0)</f>
        <v>2</v>
      </c>
      <c r="H280" s="365"/>
      <c r="I280" s="362"/>
      <c r="J280" s="362"/>
      <c r="K280" s="362"/>
      <c r="L280" s="362"/>
      <c r="M280" s="362"/>
      <c r="N280" s="362"/>
      <c r="O280" s="362"/>
    </row>
    <row r="281" spans="1:15" x14ac:dyDescent="0.35">
      <c r="A281" s="362" t="s">
        <v>506</v>
      </c>
      <c r="B281" s="510">
        <f>($E$26-$D$26)*$D$17</f>
        <v>2</v>
      </c>
      <c r="C281" s="362"/>
      <c r="D281" s="1690" t="s">
        <v>506</v>
      </c>
      <c r="E281" s="1690"/>
      <c r="F281" s="1690"/>
      <c r="G281" s="510">
        <f>($E$26-$D$26)*$D$17</f>
        <v>2</v>
      </c>
      <c r="H281" s="365"/>
      <c r="I281" s="362"/>
      <c r="J281" s="362"/>
      <c r="K281" s="362"/>
      <c r="L281" s="362"/>
      <c r="M281" s="362"/>
      <c r="N281" s="362"/>
      <c r="O281" s="362"/>
    </row>
    <row r="282" spans="1:15" x14ac:dyDescent="0.35">
      <c r="A282" s="362" t="s">
        <v>507</v>
      </c>
      <c r="B282" s="513">
        <f>$B$265*$D$17-B280-B281</f>
        <v>20</v>
      </c>
      <c r="C282" s="362"/>
      <c r="D282" s="1690" t="s">
        <v>507</v>
      </c>
      <c r="E282" s="1690"/>
      <c r="F282" s="1690"/>
      <c r="G282" s="513">
        <f>$G$265*$D$17-G280-G281</f>
        <v>20</v>
      </c>
      <c r="H282" s="365"/>
      <c r="I282" s="362"/>
      <c r="J282" s="362"/>
      <c r="K282" s="362"/>
      <c r="L282" s="362"/>
      <c r="M282" s="362"/>
      <c r="N282" s="362"/>
      <c r="O282" s="362"/>
    </row>
    <row r="283" spans="1:15" ht="15.5" x14ac:dyDescent="0.35">
      <c r="A283" s="362" t="s">
        <v>508</v>
      </c>
      <c r="B283" s="540">
        <f>(1+$B$263)^-B280</f>
        <v>0.99196508282898588</v>
      </c>
      <c r="C283" s="362"/>
      <c r="D283" s="1709" t="s">
        <v>509</v>
      </c>
      <c r="E283" s="1709"/>
      <c r="F283" s="1709"/>
      <c r="G283" s="540">
        <f>(1+$G$263)^-G280</f>
        <v>0.99196508282898588</v>
      </c>
      <c r="H283" s="365"/>
      <c r="I283" s="362"/>
      <c r="J283" s="362"/>
      <c r="K283" s="362"/>
      <c r="L283" s="362"/>
      <c r="M283" s="362"/>
      <c r="N283" s="362"/>
      <c r="O283" s="362"/>
    </row>
    <row r="284" spans="1:15" ht="15.5" x14ac:dyDescent="0.35">
      <c r="A284" s="362" t="s">
        <v>510</v>
      </c>
      <c r="B284" s="540">
        <f>(1+$B$263)^-B281</f>
        <v>0.99196508282898588</v>
      </c>
      <c r="C284" s="362"/>
      <c r="D284" s="1690" t="s">
        <v>511</v>
      </c>
      <c r="E284" s="1690"/>
      <c r="F284" s="1690"/>
      <c r="G284" s="540">
        <f>(1+$G$263)^-G281</f>
        <v>0.99196508282898588</v>
      </c>
      <c r="H284" s="365"/>
      <c r="I284" s="362"/>
      <c r="J284" s="362"/>
      <c r="K284" s="362"/>
      <c r="L284" s="362"/>
      <c r="M284" s="362"/>
      <c r="N284" s="362"/>
      <c r="O284" s="362"/>
    </row>
    <row r="285" spans="1:15" ht="15" x14ac:dyDescent="0.35">
      <c r="A285" s="442" t="s">
        <v>544</v>
      </c>
      <c r="B285" s="463">
        <f ca="1">$B$264*$E$37</f>
        <v>0</v>
      </c>
      <c r="C285" s="362"/>
      <c r="D285" s="1709" t="s">
        <v>545</v>
      </c>
      <c r="E285" s="1709"/>
      <c r="F285" s="1709"/>
      <c r="G285" s="463">
        <f ca="1">$G$264*$E$37</f>
        <v>0</v>
      </c>
      <c r="H285" s="365"/>
      <c r="I285" s="362"/>
      <c r="J285" s="362"/>
      <c r="K285" s="362"/>
      <c r="L285" s="362"/>
      <c r="M285" s="362"/>
      <c r="N285" s="362"/>
      <c r="O285" s="362"/>
    </row>
    <row r="286" spans="1:15" x14ac:dyDescent="0.35">
      <c r="A286" s="442" t="s">
        <v>546</v>
      </c>
      <c r="B286" s="463">
        <f ca="1">PMT($B$264,B282,-$E$37)</f>
        <v>0</v>
      </c>
      <c r="C286" s="362"/>
      <c r="D286" s="1706" t="s">
        <v>518</v>
      </c>
      <c r="E286" s="1706"/>
      <c r="F286" s="1706"/>
      <c r="G286" s="463">
        <f>$E$37/G282</f>
        <v>0</v>
      </c>
      <c r="H286" s="365"/>
      <c r="I286" s="362"/>
      <c r="J286" s="362"/>
      <c r="K286" s="362"/>
      <c r="L286" s="362"/>
      <c r="M286" s="362"/>
      <c r="N286" s="362"/>
      <c r="O286" s="362"/>
    </row>
    <row r="287" spans="1:15" ht="15" x14ac:dyDescent="0.35">
      <c r="A287" s="362" t="s">
        <v>547</v>
      </c>
      <c r="B287" s="541">
        <f>PV($B$263,B282,-1)</f>
        <v>19.175799853437329</v>
      </c>
      <c r="C287" s="362"/>
      <c r="D287" s="1690" t="s">
        <v>547</v>
      </c>
      <c r="E287" s="1690"/>
      <c r="F287" s="1690"/>
      <c r="G287" s="541">
        <f>PV($G$263,G282,-1)</f>
        <v>19.175799853437329</v>
      </c>
      <c r="H287" s="365"/>
      <c r="I287" s="362"/>
      <c r="J287" s="362"/>
      <c r="K287" s="362"/>
      <c r="L287" s="362"/>
      <c r="M287" s="362"/>
      <c r="N287" s="362"/>
      <c r="O287" s="362"/>
    </row>
    <row r="288" spans="1:15" ht="15.5" thickBot="1" x14ac:dyDescent="0.4">
      <c r="A288" s="362" t="s">
        <v>548</v>
      </c>
      <c r="B288" s="541">
        <f>PV($B$263,B280,-1)</f>
        <v>1.9879395216721854</v>
      </c>
      <c r="C288" s="362"/>
      <c r="D288" s="1737" t="s">
        <v>549</v>
      </c>
      <c r="E288" s="1737"/>
      <c r="F288" s="1737"/>
      <c r="G288" s="541">
        <f>PV($G$263,G280,-1)</f>
        <v>1.9879395216721854</v>
      </c>
      <c r="H288" s="365"/>
      <c r="I288" s="362"/>
      <c r="J288" s="362"/>
      <c r="K288" s="362"/>
      <c r="L288" s="362"/>
      <c r="M288" s="362"/>
      <c r="N288" s="362"/>
      <c r="O288" s="362"/>
    </row>
    <row r="289" spans="1:15" ht="16.5" thickTop="1" thickBot="1" x14ac:dyDescent="0.4">
      <c r="A289" s="542" t="s">
        <v>550</v>
      </c>
      <c r="B289" s="543">
        <f ca="1">IF(B282&lt;=0,0,(($B$264/($B$263-$B$264)*($E$37-B286*B287))*B283+B285*B288)*B284)</f>
        <v>0</v>
      </c>
      <c r="C289" s="362"/>
      <c r="D289" s="1738" t="s">
        <v>550</v>
      </c>
      <c r="E289" s="1739"/>
      <c r="F289" s="1739"/>
      <c r="G289" s="543">
        <f ca="1">IF(G282&lt;=0,0,(($G$264/$G$263*G286*(G282-G287))*G283+G285*G288)*G284)</f>
        <v>0</v>
      </c>
      <c r="H289" s="365"/>
      <c r="I289" s="362"/>
      <c r="J289" s="362"/>
      <c r="K289" s="362"/>
      <c r="L289" s="362"/>
      <c r="M289" s="362"/>
      <c r="N289" s="362"/>
      <c r="O289" s="362"/>
    </row>
    <row r="290" spans="1:15" ht="15" thickTop="1" x14ac:dyDescent="0.35">
      <c r="A290" s="362"/>
      <c r="B290" s="362"/>
      <c r="C290" s="362"/>
      <c r="D290" s="362"/>
      <c r="E290" s="362"/>
      <c r="F290" s="362"/>
      <c r="G290" s="362"/>
      <c r="H290" s="365"/>
      <c r="I290" s="362"/>
      <c r="J290" s="362"/>
      <c r="K290" s="362"/>
      <c r="L290" s="362"/>
      <c r="M290" s="362"/>
      <c r="N290" s="362"/>
      <c r="O290" s="362"/>
    </row>
    <row r="291" spans="1:15" x14ac:dyDescent="0.35">
      <c r="A291" s="538" t="s">
        <v>532</v>
      </c>
      <c r="B291" s="539">
        <f>$F$37</f>
        <v>0</v>
      </c>
      <c r="C291" s="362"/>
      <c r="D291" s="1735" t="s">
        <v>532</v>
      </c>
      <c r="E291" s="1736"/>
      <c r="F291" s="1736"/>
      <c r="G291" s="539">
        <f>$F$37</f>
        <v>0</v>
      </c>
      <c r="H291" s="365"/>
      <c r="I291" s="362"/>
      <c r="J291" s="362"/>
      <c r="K291" s="362"/>
      <c r="L291" s="362"/>
      <c r="M291" s="362"/>
      <c r="N291" s="362"/>
      <c r="O291" s="362"/>
    </row>
    <row r="292" spans="1:15" x14ac:dyDescent="0.35">
      <c r="A292" s="362" t="s">
        <v>505</v>
      </c>
      <c r="B292" s="510">
        <f>IF($D$16*$D$17-2*$D$17&gt;0,$D$16*$D$17-2*$D$17,0)</f>
        <v>0</v>
      </c>
      <c r="C292" s="362"/>
      <c r="D292" s="1690" t="s">
        <v>505</v>
      </c>
      <c r="E292" s="1690"/>
      <c r="F292" s="1690"/>
      <c r="G292" s="510">
        <f>IF($D$16*$D$17-2*$D$17&gt;0,$D$16*$D$17-2*$D$17,0)</f>
        <v>0</v>
      </c>
      <c r="H292" s="365"/>
      <c r="I292" s="362"/>
      <c r="J292" s="362"/>
      <c r="K292" s="362"/>
      <c r="L292" s="362"/>
      <c r="M292" s="362"/>
      <c r="N292" s="362"/>
      <c r="O292" s="362"/>
    </row>
    <row r="293" spans="1:15" x14ac:dyDescent="0.35">
      <c r="A293" s="362" t="s">
        <v>506</v>
      </c>
      <c r="B293" s="510">
        <f>($F$26-$D$26)*$D$17</f>
        <v>-2</v>
      </c>
      <c r="C293" s="362"/>
      <c r="D293" s="1690" t="s">
        <v>506</v>
      </c>
      <c r="E293" s="1690"/>
      <c r="F293" s="1690"/>
      <c r="G293" s="510">
        <f>($F$26-$D$26)*$D$17</f>
        <v>-2</v>
      </c>
      <c r="H293" s="365"/>
      <c r="I293" s="362"/>
      <c r="J293" s="362"/>
      <c r="K293" s="362"/>
      <c r="L293" s="362"/>
      <c r="M293" s="362"/>
      <c r="N293" s="362"/>
      <c r="O293" s="362"/>
    </row>
    <row r="294" spans="1:15" x14ac:dyDescent="0.35">
      <c r="A294" s="362" t="s">
        <v>507</v>
      </c>
      <c r="B294" s="513">
        <f>$B$265*$D$17-B292-B293</f>
        <v>26</v>
      </c>
      <c r="C294" s="362"/>
      <c r="D294" s="1690" t="s">
        <v>507</v>
      </c>
      <c r="E294" s="1690"/>
      <c r="F294" s="1690"/>
      <c r="G294" s="513">
        <f>$G$265*$D$17-G292-G293</f>
        <v>26</v>
      </c>
      <c r="H294" s="365"/>
      <c r="I294" s="362"/>
      <c r="J294" s="362"/>
      <c r="K294" s="362"/>
      <c r="L294" s="362"/>
      <c r="M294" s="362"/>
      <c r="N294" s="362"/>
      <c r="O294" s="362"/>
    </row>
    <row r="295" spans="1:15" ht="15.5" x14ac:dyDescent="0.35">
      <c r="A295" s="362" t="s">
        <v>508</v>
      </c>
      <c r="B295" s="540">
        <f>(1+$B$263)^-B292</f>
        <v>1</v>
      </c>
      <c r="C295" s="362"/>
      <c r="D295" s="1709" t="s">
        <v>509</v>
      </c>
      <c r="E295" s="1709"/>
      <c r="F295" s="1709"/>
      <c r="G295" s="540">
        <f>(1+$G$263)^-G292</f>
        <v>1</v>
      </c>
      <c r="H295" s="365"/>
      <c r="I295" s="362"/>
      <c r="J295" s="362"/>
      <c r="K295" s="362"/>
      <c r="L295" s="362"/>
      <c r="M295" s="362"/>
      <c r="N295" s="362"/>
      <c r="O295" s="362"/>
    </row>
    <row r="296" spans="1:15" ht="15.5" x14ac:dyDescent="0.35">
      <c r="A296" s="362" t="s">
        <v>510</v>
      </c>
      <c r="B296" s="540">
        <f>(1+$B$263)^-B293</f>
        <v>1.0081000000001001</v>
      </c>
      <c r="C296" s="362"/>
      <c r="D296" s="1690" t="s">
        <v>511</v>
      </c>
      <c r="E296" s="1690"/>
      <c r="F296" s="1690"/>
      <c r="G296" s="540">
        <f>(1+$G$263)^-G293</f>
        <v>1.0081000000001001</v>
      </c>
      <c r="H296" s="365"/>
      <c r="I296" s="362"/>
      <c r="J296" s="362"/>
      <c r="K296" s="362"/>
      <c r="L296" s="362"/>
      <c r="M296" s="362"/>
      <c r="N296" s="362"/>
      <c r="O296" s="362"/>
    </row>
    <row r="297" spans="1:15" ht="15" x14ac:dyDescent="0.35">
      <c r="A297" s="442" t="s">
        <v>544</v>
      </c>
      <c r="B297" s="463">
        <f ca="1">$B$264*$F$37</f>
        <v>0</v>
      </c>
      <c r="C297" s="362"/>
      <c r="D297" s="1709" t="s">
        <v>545</v>
      </c>
      <c r="E297" s="1709"/>
      <c r="F297" s="1709"/>
      <c r="G297" s="463">
        <f ca="1">$G$264*$F$37</f>
        <v>0</v>
      </c>
      <c r="H297" s="365"/>
      <c r="I297" s="362"/>
      <c r="J297" s="362"/>
      <c r="K297" s="362"/>
      <c r="L297" s="362"/>
      <c r="M297" s="362"/>
      <c r="N297" s="362"/>
      <c r="O297" s="362"/>
    </row>
    <row r="298" spans="1:15" x14ac:dyDescent="0.35">
      <c r="A298" s="442" t="s">
        <v>546</v>
      </c>
      <c r="B298" s="463">
        <f ca="1">PMT($B$264,B294,-$F$37)</f>
        <v>0</v>
      </c>
      <c r="C298" s="362"/>
      <c r="D298" s="1706" t="s">
        <v>518</v>
      </c>
      <c r="E298" s="1706"/>
      <c r="F298" s="1706"/>
      <c r="G298" s="463">
        <f>$F$37/G294</f>
        <v>0</v>
      </c>
      <c r="H298" s="365"/>
      <c r="I298" s="362"/>
      <c r="J298" s="362"/>
      <c r="K298" s="362"/>
      <c r="L298" s="362"/>
      <c r="M298" s="362"/>
      <c r="N298" s="362"/>
      <c r="O298" s="362"/>
    </row>
    <row r="299" spans="1:15" ht="15" x14ac:dyDescent="0.35">
      <c r="A299" s="362" t="s">
        <v>547</v>
      </c>
      <c r="B299" s="541">
        <f>PV($B$263,B294,-1)</f>
        <v>24.633304096581469</v>
      </c>
      <c r="C299" s="362"/>
      <c r="D299" s="1690" t="s">
        <v>547</v>
      </c>
      <c r="E299" s="1690"/>
      <c r="F299" s="1690"/>
      <c r="G299" s="541">
        <f>PV($G$263,G294,-1)</f>
        <v>24.633304096581469</v>
      </c>
      <c r="H299" s="365"/>
      <c r="I299" s="362"/>
      <c r="J299" s="362"/>
      <c r="K299" s="362"/>
      <c r="L299" s="362"/>
      <c r="M299" s="362"/>
      <c r="N299" s="362"/>
      <c r="O299" s="362"/>
    </row>
    <row r="300" spans="1:15" ht="15.5" thickBot="1" x14ac:dyDescent="0.4">
      <c r="A300" s="362" t="s">
        <v>548</v>
      </c>
      <c r="B300" s="541">
        <f>PV($B$263,B292,-1)</f>
        <v>0</v>
      </c>
      <c r="C300" s="362"/>
      <c r="D300" s="1737" t="s">
        <v>549</v>
      </c>
      <c r="E300" s="1737"/>
      <c r="F300" s="1737"/>
      <c r="G300" s="541">
        <f>PV($G$263,G292,-1)</f>
        <v>0</v>
      </c>
      <c r="H300" s="365"/>
      <c r="I300" s="362"/>
      <c r="J300" s="362"/>
      <c r="K300" s="362"/>
      <c r="L300" s="362"/>
      <c r="M300" s="362"/>
      <c r="N300" s="362"/>
      <c r="O300" s="362"/>
    </row>
    <row r="301" spans="1:15" ht="16.5" thickTop="1" thickBot="1" x14ac:dyDescent="0.4">
      <c r="A301" s="542" t="s">
        <v>550</v>
      </c>
      <c r="B301" s="543">
        <f ca="1">IF(B294&lt;=0,0,(($B$264/($B$263-$B$264)*($F$37-B298*B299))*B295+B297*B300)*B296)</f>
        <v>0</v>
      </c>
      <c r="C301" s="362"/>
      <c r="D301" s="1738" t="s">
        <v>550</v>
      </c>
      <c r="E301" s="1739"/>
      <c r="F301" s="1739"/>
      <c r="G301" s="543">
        <f ca="1">IF(G294&lt;=0,0,(($G$264/$G$263*G298*(G294-G299))*G295+G297*G300)*G296)</f>
        <v>0</v>
      </c>
      <c r="H301" s="365"/>
      <c r="I301" s="362"/>
      <c r="J301" s="362"/>
      <c r="K301" s="362"/>
      <c r="L301" s="362"/>
      <c r="M301" s="362"/>
      <c r="N301" s="362"/>
      <c r="O301" s="362"/>
    </row>
    <row r="302" spans="1:15" ht="15" thickTop="1" x14ac:dyDescent="0.35">
      <c r="A302" s="362"/>
      <c r="B302" s="362"/>
      <c r="C302" s="362"/>
      <c r="D302" s="362"/>
      <c r="E302" s="362"/>
      <c r="F302" s="362"/>
      <c r="G302" s="362"/>
      <c r="H302" s="365"/>
      <c r="I302" s="362"/>
      <c r="J302" s="362"/>
      <c r="K302" s="362"/>
      <c r="L302" s="362"/>
      <c r="M302" s="362"/>
      <c r="N302" s="362"/>
      <c r="O302" s="362"/>
    </row>
    <row r="303" spans="1:15" x14ac:dyDescent="0.35">
      <c r="A303" s="538" t="s">
        <v>533</v>
      </c>
      <c r="B303" s="539">
        <f>$G$37</f>
        <v>0</v>
      </c>
      <c r="C303" s="362"/>
      <c r="D303" s="1735" t="s">
        <v>533</v>
      </c>
      <c r="E303" s="1736"/>
      <c r="F303" s="1736"/>
      <c r="G303" s="539">
        <f>$G$37</f>
        <v>0</v>
      </c>
      <c r="H303" s="365"/>
      <c r="I303" s="362"/>
      <c r="J303" s="362"/>
      <c r="K303" s="362"/>
      <c r="L303" s="362"/>
      <c r="M303" s="362"/>
      <c r="N303" s="362"/>
      <c r="O303" s="362"/>
    </row>
    <row r="304" spans="1:15" x14ac:dyDescent="0.35">
      <c r="A304" s="362" t="s">
        <v>505</v>
      </c>
      <c r="B304" s="510">
        <f>IF($D$16*$D$17-3*$D$17&gt;0,$D$16*$D$17-3*$D$17,0)</f>
        <v>0</v>
      </c>
      <c r="C304" s="362"/>
      <c r="D304" s="1690" t="s">
        <v>505</v>
      </c>
      <c r="E304" s="1690"/>
      <c r="F304" s="1690"/>
      <c r="G304" s="510">
        <f>IF($D$16*$D$17-3*$D$17&gt;0,$D$16*$D$17-3*$D$17,0)</f>
        <v>0</v>
      </c>
      <c r="H304" s="365"/>
      <c r="I304" s="362"/>
      <c r="J304" s="362"/>
      <c r="K304" s="362"/>
      <c r="L304" s="362"/>
      <c r="M304" s="362"/>
      <c r="N304" s="362"/>
      <c r="O304" s="362"/>
    </row>
    <row r="305" spans="1:15" x14ac:dyDescent="0.35">
      <c r="A305" s="362" t="s">
        <v>506</v>
      </c>
      <c r="B305" s="510">
        <f>($G$26-$D$26)*$D$17</f>
        <v>-2</v>
      </c>
      <c r="C305" s="362"/>
      <c r="D305" s="1690" t="s">
        <v>506</v>
      </c>
      <c r="E305" s="1690"/>
      <c r="F305" s="1690"/>
      <c r="G305" s="510">
        <f>($G$26-$D$26)*$D$17</f>
        <v>-2</v>
      </c>
      <c r="H305" s="365"/>
      <c r="I305" s="362"/>
      <c r="J305" s="362"/>
      <c r="K305" s="362"/>
      <c r="L305" s="362"/>
      <c r="M305" s="362"/>
      <c r="N305" s="362"/>
      <c r="O305" s="362"/>
    </row>
    <row r="306" spans="1:15" x14ac:dyDescent="0.35">
      <c r="A306" s="362" t="s">
        <v>507</v>
      </c>
      <c r="B306" s="513">
        <f>$B$265*$D$17-B304-B305</f>
        <v>26</v>
      </c>
      <c r="C306" s="362"/>
      <c r="D306" s="1690" t="s">
        <v>507</v>
      </c>
      <c r="E306" s="1690"/>
      <c r="F306" s="1690"/>
      <c r="G306" s="513">
        <f>$G$265*$D$17-G304-G305</f>
        <v>26</v>
      </c>
      <c r="H306" s="365"/>
      <c r="I306" s="362"/>
      <c r="J306" s="362"/>
      <c r="K306" s="362"/>
      <c r="L306" s="362"/>
      <c r="M306" s="362"/>
      <c r="N306" s="362"/>
      <c r="O306" s="362"/>
    </row>
    <row r="307" spans="1:15" ht="15.5" x14ac:dyDescent="0.35">
      <c r="A307" s="362" t="s">
        <v>508</v>
      </c>
      <c r="B307" s="544">
        <f>(1+$B$263)^-B304</f>
        <v>1</v>
      </c>
      <c r="C307" s="362"/>
      <c r="D307" s="1709" t="s">
        <v>509</v>
      </c>
      <c r="E307" s="1709"/>
      <c r="F307" s="1709"/>
      <c r="G307" s="544">
        <f>(1+$G$263)^-G304</f>
        <v>1</v>
      </c>
      <c r="H307" s="365"/>
      <c r="I307" s="362"/>
      <c r="J307" s="362"/>
      <c r="K307" s="362"/>
      <c r="L307" s="362"/>
      <c r="M307" s="362"/>
      <c r="N307" s="362"/>
      <c r="O307" s="362"/>
    </row>
    <row r="308" spans="1:15" ht="15.5" x14ac:dyDescent="0.35">
      <c r="A308" s="362" t="s">
        <v>510</v>
      </c>
      <c r="B308" s="540">
        <f>(1+$B$263)^-B305</f>
        <v>1.0081000000001001</v>
      </c>
      <c r="C308" s="362"/>
      <c r="D308" s="1690" t="s">
        <v>511</v>
      </c>
      <c r="E308" s="1690"/>
      <c r="F308" s="1690"/>
      <c r="G308" s="540">
        <f>(1+$G$263)^-G305</f>
        <v>1.0081000000001001</v>
      </c>
      <c r="H308" s="365"/>
      <c r="I308" s="362"/>
      <c r="J308" s="362"/>
      <c r="K308" s="362"/>
      <c r="L308" s="362"/>
      <c r="M308" s="362"/>
      <c r="N308" s="362"/>
      <c r="O308" s="362"/>
    </row>
    <row r="309" spans="1:15" ht="15" x14ac:dyDescent="0.35">
      <c r="A309" s="442" t="s">
        <v>544</v>
      </c>
      <c r="B309" s="463">
        <f ca="1">$B$264*$G$37</f>
        <v>0</v>
      </c>
      <c r="C309" s="362"/>
      <c r="D309" s="1709" t="s">
        <v>545</v>
      </c>
      <c r="E309" s="1709"/>
      <c r="F309" s="1709"/>
      <c r="G309" s="463">
        <f ca="1">$G$264*$G$37</f>
        <v>0</v>
      </c>
      <c r="H309" s="365"/>
      <c r="I309" s="362"/>
      <c r="J309" s="362"/>
      <c r="K309" s="362"/>
      <c r="L309" s="362"/>
      <c r="M309" s="362"/>
      <c r="N309" s="362"/>
      <c r="O309" s="362"/>
    </row>
    <row r="310" spans="1:15" x14ac:dyDescent="0.35">
      <c r="A310" s="442" t="s">
        <v>546</v>
      </c>
      <c r="B310" s="463">
        <f ca="1">PMT($B$264,B306,-$G$37)</f>
        <v>0</v>
      </c>
      <c r="C310" s="362"/>
      <c r="D310" s="1706" t="s">
        <v>518</v>
      </c>
      <c r="E310" s="1706"/>
      <c r="F310" s="1706"/>
      <c r="G310" s="463">
        <f>$G$37/G306</f>
        <v>0</v>
      </c>
      <c r="H310" s="365"/>
      <c r="I310" s="362"/>
      <c r="J310" s="362"/>
      <c r="K310" s="362"/>
      <c r="L310" s="362"/>
      <c r="M310" s="362"/>
      <c r="N310" s="362"/>
      <c r="O310" s="362"/>
    </row>
    <row r="311" spans="1:15" ht="15" x14ac:dyDescent="0.35">
      <c r="A311" s="362" t="s">
        <v>547</v>
      </c>
      <c r="B311" s="541">
        <f>PV($B$263,B306,-1)</f>
        <v>24.633304096581469</v>
      </c>
      <c r="C311" s="362"/>
      <c r="D311" s="1690" t="s">
        <v>547</v>
      </c>
      <c r="E311" s="1690"/>
      <c r="F311" s="1690"/>
      <c r="G311" s="541">
        <f>PV($G$263,G306,-1)</f>
        <v>24.633304096581469</v>
      </c>
      <c r="H311" s="365"/>
      <c r="I311" s="362"/>
      <c r="J311" s="362"/>
      <c r="K311" s="362"/>
      <c r="L311" s="362"/>
      <c r="M311" s="362"/>
      <c r="N311" s="362"/>
      <c r="O311" s="362"/>
    </row>
    <row r="312" spans="1:15" ht="15.5" thickBot="1" x14ac:dyDescent="0.4">
      <c r="A312" s="362" t="s">
        <v>548</v>
      </c>
      <c r="B312" s="541">
        <f>PV($B$263,B304,-1)</f>
        <v>0</v>
      </c>
      <c r="C312" s="362"/>
      <c r="D312" s="1737" t="s">
        <v>549</v>
      </c>
      <c r="E312" s="1737"/>
      <c r="F312" s="1737"/>
      <c r="G312" s="541">
        <f>PV($G$263,G304,-1)</f>
        <v>0</v>
      </c>
      <c r="H312" s="365"/>
      <c r="I312" s="362"/>
      <c r="J312" s="362"/>
      <c r="K312" s="362"/>
      <c r="L312" s="362"/>
      <c r="M312" s="362"/>
      <c r="N312" s="362"/>
      <c r="O312" s="362"/>
    </row>
    <row r="313" spans="1:15" ht="16.5" thickTop="1" thickBot="1" x14ac:dyDescent="0.4">
      <c r="A313" s="542" t="s">
        <v>550</v>
      </c>
      <c r="B313" s="543">
        <f ca="1">IF(B306&lt;=0,0,(($B$264/($B$263-$B$264)*($G$37-B310*B311))*B307+B309*B312)*B308)</f>
        <v>0</v>
      </c>
      <c r="C313" s="362"/>
      <c r="D313" s="1738" t="s">
        <v>550</v>
      </c>
      <c r="E313" s="1739"/>
      <c r="F313" s="1739"/>
      <c r="G313" s="543">
        <f ca="1">IF(G306&lt;=0,0,(($G$264/$G$263*G310*(G306-G311))*G307+G309*G312)*G308)</f>
        <v>0</v>
      </c>
      <c r="H313" s="365"/>
      <c r="I313" s="362"/>
      <c r="J313" s="362"/>
      <c r="K313" s="362"/>
      <c r="L313" s="362"/>
      <c r="M313" s="362"/>
      <c r="N313" s="362"/>
      <c r="O313" s="362"/>
    </row>
    <row r="314" spans="1:15" ht="15" thickTop="1" x14ac:dyDescent="0.35">
      <c r="A314" s="362"/>
      <c r="B314" s="362"/>
      <c r="C314" s="362"/>
      <c r="D314" s="362"/>
      <c r="E314" s="362"/>
      <c r="F314" s="362"/>
      <c r="G314" s="362"/>
      <c r="H314" s="365"/>
      <c r="I314" s="362"/>
      <c r="J314" s="362"/>
      <c r="K314" s="362"/>
      <c r="L314" s="362"/>
      <c r="M314" s="362"/>
      <c r="N314" s="362"/>
      <c r="O314" s="362"/>
    </row>
    <row r="315" spans="1:15" x14ac:dyDescent="0.35">
      <c r="A315" s="538" t="s">
        <v>534</v>
      </c>
      <c r="B315" s="539">
        <f>$H$37</f>
        <v>0</v>
      </c>
      <c r="C315" s="362"/>
      <c r="D315" s="1735" t="s">
        <v>534</v>
      </c>
      <c r="E315" s="1736"/>
      <c r="F315" s="1736"/>
      <c r="G315" s="539">
        <f>$H$37</f>
        <v>0</v>
      </c>
      <c r="H315" s="365"/>
      <c r="I315" s="362"/>
      <c r="J315" s="362"/>
      <c r="K315" s="362"/>
      <c r="L315" s="362"/>
      <c r="M315" s="362"/>
      <c r="N315" s="362"/>
      <c r="O315" s="362"/>
    </row>
    <row r="316" spans="1:15" x14ac:dyDescent="0.35">
      <c r="A316" s="362" t="s">
        <v>505</v>
      </c>
      <c r="B316" s="510">
        <f>IF($D$16*$D$17-4*$D$17&gt;0,$D$16*$D$17-4*$D$17,0)</f>
        <v>0</v>
      </c>
      <c r="C316" s="362"/>
      <c r="D316" s="1690" t="s">
        <v>505</v>
      </c>
      <c r="E316" s="1690"/>
      <c r="F316" s="1690"/>
      <c r="G316" s="510">
        <f>IF($D$16*$D$17-4*$D$17&gt;0,$D$16*$D$17-4*$D$17,0)</f>
        <v>0</v>
      </c>
      <c r="H316" s="365"/>
      <c r="I316" s="362"/>
      <c r="J316" s="362"/>
      <c r="K316" s="362"/>
      <c r="L316" s="362"/>
      <c r="M316" s="362"/>
      <c r="N316" s="362"/>
      <c r="O316" s="362"/>
    </row>
    <row r="317" spans="1:15" x14ac:dyDescent="0.35">
      <c r="A317" s="362" t="s">
        <v>506</v>
      </c>
      <c r="B317" s="510">
        <f>($H$26-$D$26)*$D$17</f>
        <v>-2</v>
      </c>
      <c r="C317" s="362"/>
      <c r="D317" s="1690" t="s">
        <v>506</v>
      </c>
      <c r="E317" s="1690"/>
      <c r="F317" s="1690"/>
      <c r="G317" s="510">
        <f>($H$26-$D$26)*$D$17</f>
        <v>-2</v>
      </c>
      <c r="H317" s="365"/>
      <c r="I317" s="362"/>
      <c r="J317" s="362"/>
      <c r="K317" s="362"/>
      <c r="L317" s="362"/>
      <c r="M317" s="362"/>
      <c r="N317" s="362"/>
      <c r="O317" s="362"/>
    </row>
    <row r="318" spans="1:15" x14ac:dyDescent="0.35">
      <c r="A318" s="362" t="s">
        <v>507</v>
      </c>
      <c r="B318" s="513">
        <f>$B$265*$D$17-B316-B317</f>
        <v>26</v>
      </c>
      <c r="C318" s="362"/>
      <c r="D318" s="1690" t="s">
        <v>507</v>
      </c>
      <c r="E318" s="1690"/>
      <c r="F318" s="1690"/>
      <c r="G318" s="513">
        <f>$G$265*$D$17-G316-G317</f>
        <v>26</v>
      </c>
      <c r="H318" s="365"/>
      <c r="I318" s="362"/>
      <c r="J318" s="362"/>
      <c r="K318" s="362"/>
      <c r="L318" s="362"/>
      <c r="M318" s="362"/>
      <c r="N318" s="362"/>
      <c r="O318" s="362"/>
    </row>
    <row r="319" spans="1:15" ht="15.5" x14ac:dyDescent="0.35">
      <c r="A319" s="362" t="s">
        <v>508</v>
      </c>
      <c r="B319" s="544">
        <f>(1+$B$263)^-B316</f>
        <v>1</v>
      </c>
      <c r="C319" s="362"/>
      <c r="D319" s="1709" t="s">
        <v>509</v>
      </c>
      <c r="E319" s="1709"/>
      <c r="F319" s="1709"/>
      <c r="G319" s="544">
        <f>(1+$G$263)^-G316</f>
        <v>1</v>
      </c>
      <c r="H319" s="365"/>
      <c r="I319" s="362"/>
      <c r="J319" s="362"/>
      <c r="K319" s="362"/>
      <c r="L319" s="362"/>
      <c r="M319" s="362"/>
      <c r="N319" s="362"/>
      <c r="O319" s="362"/>
    </row>
    <row r="320" spans="1:15" ht="15.5" x14ac:dyDescent="0.35">
      <c r="A320" s="362" t="s">
        <v>510</v>
      </c>
      <c r="B320" s="540">
        <f>(1+$B$263)^-B317</f>
        <v>1.0081000000001001</v>
      </c>
      <c r="C320" s="362"/>
      <c r="D320" s="1690" t="s">
        <v>511</v>
      </c>
      <c r="E320" s="1690"/>
      <c r="F320" s="1690"/>
      <c r="G320" s="540">
        <f>(1+$G$263)^-G317</f>
        <v>1.0081000000001001</v>
      </c>
      <c r="H320" s="365"/>
      <c r="I320" s="362"/>
      <c r="J320" s="362"/>
      <c r="K320" s="362"/>
      <c r="L320" s="362"/>
      <c r="M320" s="362"/>
      <c r="N320" s="362"/>
      <c r="O320" s="362"/>
    </row>
    <row r="321" spans="1:15" ht="15" x14ac:dyDescent="0.35">
      <c r="A321" s="442" t="s">
        <v>544</v>
      </c>
      <c r="B321" s="463">
        <f ca="1">$B$264*$H$37</f>
        <v>0</v>
      </c>
      <c r="C321" s="362"/>
      <c r="D321" s="1709" t="s">
        <v>545</v>
      </c>
      <c r="E321" s="1709"/>
      <c r="F321" s="1709"/>
      <c r="G321" s="463">
        <f ca="1">$G$264*$H$37</f>
        <v>0</v>
      </c>
      <c r="H321" s="365"/>
      <c r="I321" s="362"/>
      <c r="J321" s="362"/>
      <c r="K321" s="362"/>
      <c r="L321" s="362"/>
      <c r="M321" s="362"/>
      <c r="N321" s="362"/>
      <c r="O321" s="362"/>
    </row>
    <row r="322" spans="1:15" x14ac:dyDescent="0.35">
      <c r="A322" s="442" t="s">
        <v>546</v>
      </c>
      <c r="B322" s="463">
        <f ca="1">PMT($B$264,B318,-$H$37)</f>
        <v>0</v>
      </c>
      <c r="C322" s="362"/>
      <c r="D322" s="1706" t="s">
        <v>518</v>
      </c>
      <c r="E322" s="1706"/>
      <c r="F322" s="1706"/>
      <c r="G322" s="463">
        <f>$H$37/G318</f>
        <v>0</v>
      </c>
      <c r="H322" s="365"/>
      <c r="I322" s="362"/>
      <c r="J322" s="362"/>
      <c r="K322" s="362"/>
      <c r="L322" s="362"/>
      <c r="M322" s="362"/>
      <c r="N322" s="362"/>
      <c r="O322" s="362"/>
    </row>
    <row r="323" spans="1:15" ht="15" x14ac:dyDescent="0.35">
      <c r="A323" s="362" t="s">
        <v>547</v>
      </c>
      <c r="B323" s="541">
        <f>PV($B$263,B318,-1)</f>
        <v>24.633304096581469</v>
      </c>
      <c r="C323" s="362"/>
      <c r="D323" s="1690" t="s">
        <v>547</v>
      </c>
      <c r="E323" s="1690"/>
      <c r="F323" s="1690"/>
      <c r="G323" s="541">
        <f>PV($G$263,G318,-1)</f>
        <v>24.633304096581469</v>
      </c>
      <c r="H323" s="365"/>
      <c r="I323" s="362"/>
      <c r="J323" s="362"/>
      <c r="K323" s="362"/>
      <c r="L323" s="362"/>
      <c r="M323" s="362"/>
      <c r="N323" s="362"/>
      <c r="O323" s="362"/>
    </row>
    <row r="324" spans="1:15" ht="15.5" thickBot="1" x14ac:dyDescent="0.4">
      <c r="A324" s="362" t="s">
        <v>548</v>
      </c>
      <c r="B324" s="541">
        <f>PV($B$263,B316,-1)</f>
        <v>0</v>
      </c>
      <c r="C324" s="362"/>
      <c r="D324" s="1737" t="s">
        <v>549</v>
      </c>
      <c r="E324" s="1737"/>
      <c r="F324" s="1737"/>
      <c r="G324" s="541">
        <f>PV($G$263,G316,-1)</f>
        <v>0</v>
      </c>
      <c r="H324" s="365"/>
      <c r="I324" s="362"/>
      <c r="J324" s="362"/>
      <c r="K324" s="362"/>
      <c r="L324" s="362"/>
      <c r="M324" s="362"/>
      <c r="N324" s="362"/>
      <c r="O324" s="362"/>
    </row>
    <row r="325" spans="1:15" ht="16.5" thickTop="1" thickBot="1" x14ac:dyDescent="0.4">
      <c r="A325" s="542" t="s">
        <v>550</v>
      </c>
      <c r="B325" s="543">
        <f ca="1">IF(B318&lt;=0,0,(($B$264/($B$263-$B$264)*($H$37-B322*B323))*B319+B321*B324)*B320)</f>
        <v>0</v>
      </c>
      <c r="C325" s="362"/>
      <c r="D325" s="1738" t="s">
        <v>550</v>
      </c>
      <c r="E325" s="1739"/>
      <c r="F325" s="1739"/>
      <c r="G325" s="543">
        <f ca="1">IF(G318&lt;=0,0,(($G$264/$G$263*G322*(G318-G323))*G319+G321*G324)*G320)</f>
        <v>0</v>
      </c>
      <c r="H325" s="365"/>
      <c r="I325" s="362"/>
      <c r="J325" s="362"/>
      <c r="K325" s="362"/>
      <c r="L325" s="362"/>
      <c r="M325" s="362"/>
      <c r="N325" s="362"/>
      <c r="O325" s="362"/>
    </row>
    <row r="326" spans="1:15" ht="15" thickTop="1" x14ac:dyDescent="0.35">
      <c r="A326" s="362"/>
      <c r="B326" s="362"/>
      <c r="C326" s="362"/>
      <c r="D326" s="362"/>
      <c r="E326" s="362"/>
      <c r="F326" s="362"/>
      <c r="G326" s="362"/>
      <c r="H326" s="365"/>
      <c r="I326" s="362"/>
      <c r="J326" s="362"/>
      <c r="K326" s="362"/>
      <c r="L326" s="362"/>
      <c r="M326" s="362"/>
      <c r="N326" s="362"/>
      <c r="O326" s="362"/>
    </row>
    <row r="327" spans="1:15" x14ac:dyDescent="0.35">
      <c r="A327" s="362"/>
      <c r="B327" s="362"/>
      <c r="C327" s="362"/>
      <c r="D327" s="362"/>
      <c r="E327" s="362"/>
      <c r="F327" s="362"/>
      <c r="G327" s="362"/>
      <c r="H327" s="365"/>
      <c r="I327" s="362"/>
      <c r="J327" s="362"/>
      <c r="K327" s="362"/>
      <c r="L327" s="362"/>
      <c r="M327" s="362"/>
      <c r="N327" s="362"/>
      <c r="O327" s="362"/>
    </row>
    <row r="328" spans="1:15" x14ac:dyDescent="0.35">
      <c r="A328" s="362"/>
      <c r="B328" s="362"/>
      <c r="C328" s="362"/>
      <c r="D328" s="362"/>
      <c r="E328" s="362"/>
      <c r="F328" s="362"/>
      <c r="G328" s="362"/>
      <c r="H328" s="365"/>
      <c r="I328" s="362"/>
      <c r="J328" s="362"/>
      <c r="K328" s="362"/>
      <c r="L328" s="362"/>
      <c r="M328" s="362"/>
      <c r="N328" s="362"/>
      <c r="O328" s="362"/>
    </row>
    <row r="329" spans="1:15" x14ac:dyDescent="0.35">
      <c r="A329" s="362"/>
      <c r="B329" s="362"/>
      <c r="C329" s="362"/>
      <c r="D329" s="362"/>
      <c r="E329" s="362"/>
      <c r="F329" s="362"/>
      <c r="G329" s="362"/>
      <c r="H329" s="365"/>
      <c r="I329" s="362"/>
      <c r="J329" s="362"/>
      <c r="K329" s="362"/>
      <c r="L329" s="362"/>
      <c r="M329" s="362"/>
      <c r="N329" s="362"/>
      <c r="O329" s="362"/>
    </row>
    <row r="330" spans="1:15" ht="15.5" x14ac:dyDescent="0.35">
      <c r="A330" s="545" t="s">
        <v>551</v>
      </c>
      <c r="B330" s="546">
        <v>0.2</v>
      </c>
      <c r="C330" s="547"/>
      <c r="D330" s="362"/>
      <c r="E330" s="362"/>
      <c r="F330" s="362"/>
      <c r="G330" s="362"/>
      <c r="H330" s="365"/>
      <c r="I330" s="362"/>
      <c r="J330" s="362"/>
      <c r="K330" s="362"/>
      <c r="L330" s="362"/>
      <c r="M330" s="362"/>
      <c r="N330" s="362"/>
      <c r="O330" s="362"/>
    </row>
    <row r="331" spans="1:15" x14ac:dyDescent="0.35">
      <c r="A331" s="547"/>
      <c r="B331" s="548"/>
      <c r="C331" s="547"/>
      <c r="D331" s="362"/>
      <c r="E331" s="362"/>
      <c r="F331" s="362"/>
      <c r="G331" s="362"/>
      <c r="H331" s="365"/>
      <c r="I331" s="362"/>
      <c r="J331" s="362"/>
      <c r="K331" s="362"/>
      <c r="L331" s="362"/>
      <c r="M331" s="362"/>
      <c r="N331" s="362"/>
      <c r="O331" s="362"/>
    </row>
    <row r="332" spans="1:15" x14ac:dyDescent="0.35">
      <c r="A332" s="549" t="s">
        <v>552</v>
      </c>
      <c r="B332" s="550" t="s">
        <v>553</v>
      </c>
      <c r="C332" s="551" t="s">
        <v>554</v>
      </c>
      <c r="D332" s="362"/>
      <c r="E332" s="362"/>
      <c r="F332" s="552">
        <v>101000</v>
      </c>
      <c r="G332" s="362"/>
      <c r="H332" s="365"/>
      <c r="I332" s="362"/>
      <c r="J332" s="362"/>
      <c r="K332" s="362"/>
      <c r="L332" s="362"/>
      <c r="M332" s="362"/>
      <c r="N332" s="362"/>
      <c r="O332" s="362"/>
    </row>
    <row r="333" spans="1:15" x14ac:dyDescent="0.35">
      <c r="A333" s="553" t="s">
        <v>555</v>
      </c>
      <c r="B333" s="548">
        <v>1</v>
      </c>
      <c r="C333" s="554">
        <f>B330*B333</f>
        <v>0.2</v>
      </c>
      <c r="D333" s="362"/>
      <c r="E333" s="362"/>
      <c r="F333" s="362"/>
      <c r="G333" s="362"/>
      <c r="H333" s="365"/>
      <c r="I333" s="362"/>
      <c r="J333" s="362"/>
      <c r="K333" s="362"/>
      <c r="L333" s="362"/>
      <c r="M333" s="362"/>
      <c r="N333" s="362"/>
      <c r="O333" s="362"/>
    </row>
    <row r="334" spans="1:15" x14ac:dyDescent="0.35">
      <c r="A334" s="553" t="s">
        <v>556</v>
      </c>
      <c r="B334" s="548">
        <v>0.5</v>
      </c>
      <c r="C334" s="555">
        <f>B330*B334</f>
        <v>0.1</v>
      </c>
      <c r="D334" s="362"/>
      <c r="E334" s="362"/>
      <c r="F334" s="362"/>
      <c r="G334" s="362"/>
      <c r="H334" s="365"/>
      <c r="I334" s="362"/>
      <c r="J334" s="362"/>
      <c r="K334" s="362"/>
      <c r="L334" s="362"/>
      <c r="M334" s="362"/>
      <c r="N334" s="362"/>
      <c r="O334" s="362"/>
    </row>
    <row r="335" spans="1:15" x14ac:dyDescent="0.35">
      <c r="A335" s="556" t="s">
        <v>557</v>
      </c>
      <c r="B335" s="557">
        <v>0</v>
      </c>
      <c r="C335" s="558">
        <f>B330*B335</f>
        <v>0</v>
      </c>
      <c r="D335" s="362"/>
      <c r="E335" s="362"/>
      <c r="F335" s="362"/>
      <c r="G335" s="362"/>
      <c r="H335" s="365"/>
      <c r="I335" s="362"/>
      <c r="J335" s="362"/>
      <c r="K335" s="362"/>
      <c r="L335" s="362"/>
      <c r="M335" s="362"/>
      <c r="N335" s="362"/>
      <c r="O335" s="362"/>
    </row>
    <row r="336" spans="1:15" x14ac:dyDescent="0.35">
      <c r="A336" s="547"/>
      <c r="B336" s="559"/>
      <c r="C336" s="547"/>
      <c r="D336" s="362"/>
      <c r="E336" s="362"/>
      <c r="F336" s="362"/>
      <c r="G336" s="362"/>
      <c r="H336" s="365"/>
      <c r="I336" s="362"/>
      <c r="J336" s="362"/>
      <c r="K336" s="362"/>
      <c r="L336" s="362"/>
      <c r="M336" s="362"/>
      <c r="N336" s="362"/>
      <c r="O336" s="362"/>
    </row>
    <row r="337" spans="1:15" x14ac:dyDescent="0.35">
      <c r="A337" s="1740" t="s">
        <v>558</v>
      </c>
      <c r="B337" s="1741"/>
      <c r="C337" s="560"/>
      <c r="D337" s="362"/>
      <c r="E337" s="362"/>
      <c r="F337" s="362"/>
      <c r="G337" s="362"/>
      <c r="H337" s="365"/>
      <c r="I337" s="362"/>
      <c r="J337" s="362"/>
      <c r="K337" s="362"/>
      <c r="L337" s="362"/>
      <c r="M337" s="362"/>
      <c r="N337" s="362"/>
      <c r="O337" s="362"/>
    </row>
    <row r="338" spans="1:15" x14ac:dyDescent="0.35">
      <c r="A338" s="561" t="s">
        <v>559</v>
      </c>
      <c r="B338" s="562" t="s">
        <v>560</v>
      </c>
      <c r="C338" s="562" t="s">
        <v>561</v>
      </c>
      <c r="D338" s="362"/>
      <c r="E338" s="362"/>
      <c r="F338" s="362"/>
      <c r="G338" s="362"/>
      <c r="H338" s="365"/>
      <c r="I338" s="362"/>
      <c r="J338" s="362"/>
      <c r="K338" s="362"/>
      <c r="L338" s="362"/>
      <c r="M338" s="362"/>
      <c r="N338" s="362"/>
      <c r="O338" s="362"/>
    </row>
    <row r="339" spans="1:15" x14ac:dyDescent="0.35">
      <c r="A339" s="563">
        <f>IF(F332&lt;=50000,F332,IF(F332&gt;50000,50000))</f>
        <v>50000</v>
      </c>
      <c r="B339" s="564">
        <f>+A339/A342</f>
        <v>0.49504950495049505</v>
      </c>
      <c r="C339" s="565">
        <f>+C333*B339</f>
        <v>9.9009900990099015E-2</v>
      </c>
      <c r="D339" s="362"/>
      <c r="E339" s="362"/>
      <c r="F339" s="362"/>
      <c r="G339" s="362"/>
      <c r="H339" s="365"/>
      <c r="I339" s="362"/>
      <c r="J339" s="362"/>
      <c r="K339" s="362"/>
      <c r="L339" s="362"/>
      <c r="M339" s="362"/>
      <c r="N339" s="362"/>
      <c r="O339" s="362"/>
    </row>
    <row r="340" spans="1:15" x14ac:dyDescent="0.35">
      <c r="A340" s="563">
        <f>IF(F332&lt;=50000,0,IF(F332&gt;=100000,50000,IF(F332&lt;100000,(F332-50000))))</f>
        <v>50000</v>
      </c>
      <c r="B340" s="564">
        <f>+A340/A342</f>
        <v>0.49504950495049505</v>
      </c>
      <c r="C340" s="565">
        <f>+C334*B340</f>
        <v>4.9504950495049507E-2</v>
      </c>
      <c r="D340" s="362"/>
      <c r="E340" s="362"/>
      <c r="F340" s="362"/>
      <c r="G340" s="362"/>
      <c r="H340" s="365"/>
      <c r="I340" s="362"/>
      <c r="J340" s="362"/>
      <c r="K340" s="362"/>
      <c r="L340" s="362"/>
      <c r="M340" s="362"/>
      <c r="N340" s="362"/>
      <c r="O340" s="362"/>
    </row>
    <row r="341" spans="1:15" ht="15" thickBot="1" x14ac:dyDescent="0.4">
      <c r="A341" s="566">
        <f>IF(F332&gt;100000,F332-A339-A340,0)</f>
        <v>1000</v>
      </c>
      <c r="B341" s="567">
        <f>+A341/A342</f>
        <v>9.9009900990099011E-3</v>
      </c>
      <c r="C341" s="568">
        <f>+C335*B341</f>
        <v>0</v>
      </c>
      <c r="D341" s="362"/>
      <c r="E341" s="362"/>
      <c r="F341" s="362"/>
      <c r="G341" s="362"/>
      <c r="H341" s="365"/>
      <c r="I341" s="362"/>
      <c r="J341" s="362"/>
      <c r="K341" s="362"/>
      <c r="L341" s="362"/>
      <c r="M341" s="362"/>
      <c r="N341" s="362"/>
      <c r="O341" s="362"/>
    </row>
    <row r="342" spans="1:15" ht="15" thickTop="1" x14ac:dyDescent="0.35">
      <c r="A342" s="569">
        <f>SUM(A339:A341)</f>
        <v>101000</v>
      </c>
      <c r="B342" s="570">
        <f>SUM(B339:B341)</f>
        <v>1</v>
      </c>
      <c r="C342" s="571">
        <f>SUM(C339:C341)</f>
        <v>0.14851485148514854</v>
      </c>
      <c r="D342" s="362"/>
      <c r="E342" s="362"/>
      <c r="F342" s="362"/>
      <c r="G342" s="362"/>
      <c r="H342" s="365"/>
      <c r="I342" s="362"/>
      <c r="J342" s="362"/>
      <c r="K342" s="362"/>
      <c r="L342" s="362"/>
      <c r="M342" s="362"/>
      <c r="N342" s="362"/>
      <c r="O342" s="362"/>
    </row>
    <row r="343" spans="1:15" x14ac:dyDescent="0.35">
      <c r="D343" s="362"/>
      <c r="E343" s="362"/>
      <c r="F343" s="362"/>
      <c r="G343" s="362"/>
      <c r="H343" s="365"/>
      <c r="I343" s="362"/>
      <c r="J343" s="362"/>
      <c r="K343" s="362"/>
      <c r="L343" s="362"/>
      <c r="M343" s="362"/>
      <c r="N343" s="362"/>
      <c r="O343" s="362"/>
    </row>
    <row r="344" spans="1:15" x14ac:dyDescent="0.35">
      <c r="A344" s="362"/>
      <c r="B344" s="362"/>
      <c r="C344" s="362"/>
      <c r="D344" s="362"/>
      <c r="E344" s="362"/>
      <c r="F344" s="362"/>
      <c r="G344" s="362"/>
      <c r="H344" s="365"/>
      <c r="I344" s="362"/>
      <c r="J344" s="362"/>
      <c r="K344" s="362"/>
      <c r="L344" s="362"/>
      <c r="M344" s="362"/>
      <c r="N344" s="362"/>
      <c r="O344" s="362"/>
    </row>
    <row r="345" spans="1:15" x14ac:dyDescent="0.35">
      <c r="A345" s="362"/>
      <c r="B345" s="362"/>
      <c r="C345" s="362"/>
      <c r="D345" s="362"/>
      <c r="E345" s="362"/>
      <c r="F345" s="362"/>
      <c r="G345" s="362"/>
      <c r="H345" s="365"/>
      <c r="I345" s="362"/>
      <c r="J345" s="362"/>
      <c r="K345" s="362"/>
      <c r="L345" s="362"/>
      <c r="M345" s="362"/>
      <c r="N345" s="362"/>
      <c r="O345" s="362"/>
    </row>
    <row r="346" spans="1:15" x14ac:dyDescent="0.35">
      <c r="A346" s="362"/>
      <c r="B346" s="362"/>
      <c r="C346" s="362"/>
      <c r="D346" s="362"/>
      <c r="E346" s="362"/>
      <c r="F346" s="362"/>
      <c r="G346" s="362"/>
      <c r="H346" s="365"/>
      <c r="I346" s="362"/>
      <c r="J346" s="362"/>
      <c r="K346" s="362"/>
      <c r="L346" s="362"/>
      <c r="M346" s="362"/>
      <c r="N346" s="362"/>
      <c r="O346" s="362"/>
    </row>
    <row r="347" spans="1:15" x14ac:dyDescent="0.35">
      <c r="A347" s="362"/>
      <c r="B347" s="362"/>
      <c r="C347" s="362"/>
      <c r="D347" s="362"/>
      <c r="E347" s="362"/>
      <c r="F347" s="362"/>
      <c r="G347" s="362"/>
      <c r="H347" s="365"/>
      <c r="I347" s="362"/>
      <c r="J347" s="362"/>
      <c r="K347" s="362"/>
      <c r="L347" s="362"/>
      <c r="M347" s="362"/>
      <c r="N347" s="362"/>
      <c r="O347" s="362"/>
    </row>
    <row r="348" spans="1:15" x14ac:dyDescent="0.35">
      <c r="A348" s="362"/>
      <c r="B348" s="362"/>
      <c r="C348" s="362"/>
      <c r="D348" s="362"/>
      <c r="E348" s="362"/>
      <c r="F348" s="362"/>
      <c r="G348" s="362"/>
      <c r="H348" s="365"/>
      <c r="I348" s="362"/>
      <c r="J348" s="362"/>
      <c r="K348" s="362"/>
      <c r="L348" s="362"/>
      <c r="M348" s="362"/>
      <c r="N348" s="362"/>
      <c r="O348" s="362"/>
    </row>
  </sheetData>
  <mergeCells count="265">
    <mergeCell ref="A337:B337"/>
    <mergeCell ref="D320:F320"/>
    <mergeCell ref="D321:F321"/>
    <mergeCell ref="D322:F322"/>
    <mergeCell ref="D323:F323"/>
    <mergeCell ref="D324:F324"/>
    <mergeCell ref="D325:F325"/>
    <mergeCell ref="D313:F313"/>
    <mergeCell ref="D315:F315"/>
    <mergeCell ref="D316:F316"/>
    <mergeCell ref="D317:F317"/>
    <mergeCell ref="D318:F318"/>
    <mergeCell ref="D319:F319"/>
    <mergeCell ref="D307:F307"/>
    <mergeCell ref="D308:F308"/>
    <mergeCell ref="D309:F309"/>
    <mergeCell ref="D310:F310"/>
    <mergeCell ref="D311:F311"/>
    <mergeCell ref="D312:F312"/>
    <mergeCell ref="D300:F300"/>
    <mergeCell ref="D301:F301"/>
    <mergeCell ref="D303:F303"/>
    <mergeCell ref="D304:F304"/>
    <mergeCell ref="D305:F305"/>
    <mergeCell ref="D306:F306"/>
    <mergeCell ref="D294:F294"/>
    <mergeCell ref="D295:F295"/>
    <mergeCell ref="D296:F296"/>
    <mergeCell ref="D297:F297"/>
    <mergeCell ref="D298:F298"/>
    <mergeCell ref="D299:F299"/>
    <mergeCell ref="D287:F287"/>
    <mergeCell ref="D288:F288"/>
    <mergeCell ref="D289:F289"/>
    <mergeCell ref="D291:F291"/>
    <mergeCell ref="D292:F292"/>
    <mergeCell ref="D293:F293"/>
    <mergeCell ref="D281:F281"/>
    <mergeCell ref="D282:F282"/>
    <mergeCell ref="D283:F283"/>
    <mergeCell ref="D284:F284"/>
    <mergeCell ref="D285:F285"/>
    <mergeCell ref="D286:F286"/>
    <mergeCell ref="D274:F274"/>
    <mergeCell ref="D275:F275"/>
    <mergeCell ref="D276:F276"/>
    <mergeCell ref="D277:F277"/>
    <mergeCell ref="D279:F279"/>
    <mergeCell ref="D280:F280"/>
    <mergeCell ref="D268:F268"/>
    <mergeCell ref="D269:F269"/>
    <mergeCell ref="D270:F270"/>
    <mergeCell ref="D271:F271"/>
    <mergeCell ref="D272:F272"/>
    <mergeCell ref="D273:F273"/>
    <mergeCell ref="D261:F261"/>
    <mergeCell ref="D262:F262"/>
    <mergeCell ref="D263:F263"/>
    <mergeCell ref="D264:F264"/>
    <mergeCell ref="D265:F265"/>
    <mergeCell ref="D267:F267"/>
    <mergeCell ref="D253:F253"/>
    <mergeCell ref="D254:F254"/>
    <mergeCell ref="D255:F255"/>
    <mergeCell ref="D256:F256"/>
    <mergeCell ref="D257:F257"/>
    <mergeCell ref="D258:F258"/>
    <mergeCell ref="D247:F247"/>
    <mergeCell ref="D248:F248"/>
    <mergeCell ref="D249:F249"/>
    <mergeCell ref="D250:F250"/>
    <mergeCell ref="D251:F251"/>
    <mergeCell ref="D252:F252"/>
    <mergeCell ref="D241:F241"/>
    <mergeCell ref="D242:F242"/>
    <mergeCell ref="D243:F243"/>
    <mergeCell ref="D244:F244"/>
    <mergeCell ref="D245:F245"/>
    <mergeCell ref="D246:F246"/>
    <mergeCell ref="D234:F234"/>
    <mergeCell ref="D235:F235"/>
    <mergeCell ref="D236:F236"/>
    <mergeCell ref="D237:F237"/>
    <mergeCell ref="D238:F238"/>
    <mergeCell ref="D239:F239"/>
    <mergeCell ref="D228:F228"/>
    <mergeCell ref="D229:F229"/>
    <mergeCell ref="D230:F230"/>
    <mergeCell ref="D231:F231"/>
    <mergeCell ref="D232:F232"/>
    <mergeCell ref="D233:F233"/>
    <mergeCell ref="D222:F222"/>
    <mergeCell ref="D223:F223"/>
    <mergeCell ref="D224:F224"/>
    <mergeCell ref="D225:F225"/>
    <mergeCell ref="D226:F226"/>
    <mergeCell ref="D227:F227"/>
    <mergeCell ref="D215:F215"/>
    <mergeCell ref="D216:F216"/>
    <mergeCell ref="D217:F217"/>
    <mergeCell ref="D218:F218"/>
    <mergeCell ref="D219:F219"/>
    <mergeCell ref="D220:F220"/>
    <mergeCell ref="D209:F209"/>
    <mergeCell ref="D210:F210"/>
    <mergeCell ref="D211:F211"/>
    <mergeCell ref="D212:F212"/>
    <mergeCell ref="D213:F213"/>
    <mergeCell ref="D214:F214"/>
    <mergeCell ref="D203:F203"/>
    <mergeCell ref="D204:F204"/>
    <mergeCell ref="D205:F205"/>
    <mergeCell ref="D206:F206"/>
    <mergeCell ref="D207:F207"/>
    <mergeCell ref="D208:F208"/>
    <mergeCell ref="D196:F196"/>
    <mergeCell ref="D197:F197"/>
    <mergeCell ref="D198:F198"/>
    <mergeCell ref="D199:F199"/>
    <mergeCell ref="D200:F200"/>
    <mergeCell ref="D201:F201"/>
    <mergeCell ref="D190:F190"/>
    <mergeCell ref="D191:F191"/>
    <mergeCell ref="D192:F192"/>
    <mergeCell ref="D193:F193"/>
    <mergeCell ref="D194:F194"/>
    <mergeCell ref="D195:F195"/>
    <mergeCell ref="D184:F184"/>
    <mergeCell ref="D185:F185"/>
    <mergeCell ref="D186:F186"/>
    <mergeCell ref="D187:F187"/>
    <mergeCell ref="D188:F188"/>
    <mergeCell ref="D189:F189"/>
    <mergeCell ref="D177:F177"/>
    <mergeCell ref="D178:F178"/>
    <mergeCell ref="D179:F179"/>
    <mergeCell ref="D180:F180"/>
    <mergeCell ref="D181:F181"/>
    <mergeCell ref="D182:F182"/>
    <mergeCell ref="D171:F171"/>
    <mergeCell ref="D172:F172"/>
    <mergeCell ref="D173:F173"/>
    <mergeCell ref="D174:F174"/>
    <mergeCell ref="D175:F175"/>
    <mergeCell ref="D176:F176"/>
    <mergeCell ref="D165:F165"/>
    <mergeCell ref="D166:F166"/>
    <mergeCell ref="D167:F167"/>
    <mergeCell ref="D168:F168"/>
    <mergeCell ref="D169:F169"/>
    <mergeCell ref="D170:F170"/>
    <mergeCell ref="D156:F156"/>
    <mergeCell ref="D159:F159"/>
    <mergeCell ref="D160:F160"/>
    <mergeCell ref="D161:F161"/>
    <mergeCell ref="D162:F162"/>
    <mergeCell ref="D163:F163"/>
    <mergeCell ref="D150:F150"/>
    <mergeCell ref="D151:F151"/>
    <mergeCell ref="D152:F152"/>
    <mergeCell ref="D153:F153"/>
    <mergeCell ref="D154:F154"/>
    <mergeCell ref="D155:F155"/>
    <mergeCell ref="D144:F144"/>
    <mergeCell ref="D145:F145"/>
    <mergeCell ref="D146:F146"/>
    <mergeCell ref="D147:F147"/>
    <mergeCell ref="D148:F148"/>
    <mergeCell ref="D149:F149"/>
    <mergeCell ref="D137:F137"/>
    <mergeCell ref="D139:F139"/>
    <mergeCell ref="D140:F140"/>
    <mergeCell ref="D141:F141"/>
    <mergeCell ref="D142:F142"/>
    <mergeCell ref="D143:F143"/>
    <mergeCell ref="D131:F131"/>
    <mergeCell ref="D132:F132"/>
    <mergeCell ref="D133:F133"/>
    <mergeCell ref="D134:F134"/>
    <mergeCell ref="D135:F135"/>
    <mergeCell ref="D136:F136"/>
    <mergeCell ref="D125:F125"/>
    <mergeCell ref="D126:F126"/>
    <mergeCell ref="D127:F127"/>
    <mergeCell ref="D128:F128"/>
    <mergeCell ref="D129:F129"/>
    <mergeCell ref="D130:F130"/>
    <mergeCell ref="D118:F118"/>
    <mergeCell ref="D120:F120"/>
    <mergeCell ref="D121:F121"/>
    <mergeCell ref="D122:F122"/>
    <mergeCell ref="D123:F123"/>
    <mergeCell ref="D124:F124"/>
    <mergeCell ref="D112:F112"/>
    <mergeCell ref="D113:F113"/>
    <mergeCell ref="D114:F114"/>
    <mergeCell ref="D115:F115"/>
    <mergeCell ref="D116:F116"/>
    <mergeCell ref="D117:F117"/>
    <mergeCell ref="D106:F106"/>
    <mergeCell ref="D107:F107"/>
    <mergeCell ref="D108:F108"/>
    <mergeCell ref="D109:F109"/>
    <mergeCell ref="D110:F110"/>
    <mergeCell ref="D111:F111"/>
    <mergeCell ref="D99:F99"/>
    <mergeCell ref="D101:F101"/>
    <mergeCell ref="D102:F102"/>
    <mergeCell ref="D103:F103"/>
    <mergeCell ref="D104:F104"/>
    <mergeCell ref="D105:F105"/>
    <mergeCell ref="D93:F93"/>
    <mergeCell ref="D94:F94"/>
    <mergeCell ref="D95:F95"/>
    <mergeCell ref="D96:F96"/>
    <mergeCell ref="D97:F97"/>
    <mergeCell ref="D98:F98"/>
    <mergeCell ref="D87:F87"/>
    <mergeCell ref="D88:F88"/>
    <mergeCell ref="D89:F89"/>
    <mergeCell ref="D90:F90"/>
    <mergeCell ref="D91:F91"/>
    <mergeCell ref="D92:F92"/>
    <mergeCell ref="D80:F80"/>
    <mergeCell ref="D82:F82"/>
    <mergeCell ref="D83:F83"/>
    <mergeCell ref="D84:F84"/>
    <mergeCell ref="D85:F85"/>
    <mergeCell ref="D86:F86"/>
    <mergeCell ref="D74:F74"/>
    <mergeCell ref="D75:F75"/>
    <mergeCell ref="D76:F76"/>
    <mergeCell ref="D77:F77"/>
    <mergeCell ref="D78:F78"/>
    <mergeCell ref="D79:F79"/>
    <mergeCell ref="D68:F68"/>
    <mergeCell ref="D69:F69"/>
    <mergeCell ref="D70:F70"/>
    <mergeCell ref="D71:F71"/>
    <mergeCell ref="D72:F72"/>
    <mergeCell ref="D73:F73"/>
    <mergeCell ref="D62:F62"/>
    <mergeCell ref="D63:F63"/>
    <mergeCell ref="D64:F64"/>
    <mergeCell ref="D65:F65"/>
    <mergeCell ref="D66:F66"/>
    <mergeCell ref="D67:F67"/>
    <mergeCell ref="A55:G55"/>
    <mergeCell ref="D57:F57"/>
    <mergeCell ref="D58:F58"/>
    <mergeCell ref="D59:F59"/>
    <mergeCell ref="D60:F60"/>
    <mergeCell ref="D61:F61"/>
    <mergeCell ref="K16:M16"/>
    <mergeCell ref="K17:M17"/>
    <mergeCell ref="F20:G20"/>
    <mergeCell ref="F21:G21"/>
    <mergeCell ref="A46:B46"/>
    <mergeCell ref="A48:B48"/>
    <mergeCell ref="C1:D1"/>
    <mergeCell ref="I2:K2"/>
    <mergeCell ref="M2:O5"/>
    <mergeCell ref="F8:G8"/>
    <mergeCell ref="G10:I10"/>
    <mergeCell ref="K15:M15"/>
  </mergeCells>
  <conditionalFormatting sqref="E1">
    <cfRule type="cellIs" dxfId="151" priority="1" stopIfTrue="1" operator="greaterThan">
      <formula>200000</formula>
    </cfRule>
  </conditionalFormatting>
  <dataValidations disablePrompts="1" count="5">
    <dataValidation type="list" allowBlank="1" showInputMessage="1" showErrorMessage="1" sqref="H9" xr:uid="{81828E4A-69BC-4DDF-8B54-EE24502E9108}">
      <formula1>"SI, NO"</formula1>
    </dataValidation>
    <dataValidation type="list" allowBlank="1" showInputMessage="1" showErrorMessage="1" sqref="I9" xr:uid="{2E28B4B3-AC39-41F0-89B6-CF3002AA69F7}">
      <formula1>"0,00,7500, 15000"</formula1>
    </dataValidation>
    <dataValidation type="list" allowBlank="1" showInputMessage="1" showErrorMessage="1" sqref="N15" xr:uid="{07027337-EEF7-4F25-AE6D-5AD1347822DC}">
      <formula1>"Campania, Calabria, Basilicata, Puglia, Sicilia"</formula1>
    </dataValidation>
    <dataValidation type="list" allowBlank="1" showInputMessage="1" showErrorMessage="1" sqref="D3" xr:uid="{31FBD9CD-1C4B-4B70-AF63-7385A0E2AC46}">
      <formula1>"SI, NO,"</formula1>
    </dataValidation>
    <dataValidation type="list" allowBlank="1" showInputMessage="1" showErrorMessage="1" sqref="D5 E8" xr:uid="{B2662BB3-2DA7-44F2-B0A6-A9813A087131}">
      <formula1>"80%, 90%,"</formula1>
    </dataValidation>
  </dataValidations>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53603-F906-4CAA-956E-276E5EF5BF78}">
  <sheetPr codeName="Foglio10"/>
  <dimension ref="A2:M17"/>
  <sheetViews>
    <sheetView zoomScale="110" zoomScaleNormal="110" workbookViewId="0">
      <selection activeCell="C30" sqref="C30"/>
    </sheetView>
  </sheetViews>
  <sheetFormatPr defaultColWidth="9.1796875" defaultRowHeight="14.5" x14ac:dyDescent="0.35"/>
  <cols>
    <col min="1" max="1" width="20.1796875" style="335" customWidth="1"/>
    <col min="2" max="2" width="23.54296875" style="335" customWidth="1"/>
    <col min="3" max="3" width="29" style="335" customWidth="1"/>
    <col min="4" max="5" width="26.81640625" style="335" customWidth="1"/>
    <col min="6" max="6" width="13.81640625" style="335" customWidth="1"/>
    <col min="7" max="8" width="12.453125" style="335" customWidth="1"/>
    <col min="9" max="9" width="18" style="335" customWidth="1"/>
    <col min="10" max="11" width="20" style="335" customWidth="1"/>
    <col min="12" max="12" width="22.453125" style="335" customWidth="1"/>
    <col min="13" max="13" width="25.1796875" style="335" customWidth="1"/>
    <col min="14" max="16" width="9.1796875" style="335"/>
    <col min="17" max="17" width="7.54296875" style="335" customWidth="1"/>
    <col min="18" max="16384" width="9.1796875" style="335"/>
  </cols>
  <sheetData>
    <row r="2" spans="1:13" s="763" customFormat="1" ht="43.5" x14ac:dyDescent="0.35">
      <c r="A2" s="792" t="s">
        <v>562</v>
      </c>
      <c r="B2" s="793" t="s">
        <v>563</v>
      </c>
      <c r="C2" s="793" t="s">
        <v>564</v>
      </c>
      <c r="D2" s="794" t="s">
        <v>565</v>
      </c>
      <c r="E2" s="794" t="s">
        <v>566</v>
      </c>
      <c r="F2" s="793" t="s">
        <v>567</v>
      </c>
      <c r="G2" s="793" t="s">
        <v>568</v>
      </c>
      <c r="H2" s="793" t="s">
        <v>569</v>
      </c>
      <c r="I2" s="793" t="s">
        <v>570</v>
      </c>
      <c r="J2" s="793" t="s">
        <v>571</v>
      </c>
      <c r="K2" s="794" t="s">
        <v>572</v>
      </c>
      <c r="L2" s="793" t="s">
        <v>573</v>
      </c>
      <c r="M2" s="795" t="s">
        <v>574</v>
      </c>
    </row>
    <row r="3" spans="1:13" ht="29" x14ac:dyDescent="0.35">
      <c r="A3" s="796" t="s">
        <v>575</v>
      </c>
      <c r="B3" s="796" t="s">
        <v>576</v>
      </c>
      <c r="C3" s="796" t="s">
        <v>577</v>
      </c>
      <c r="D3" s="797" t="s">
        <v>578</v>
      </c>
      <c r="E3" s="797" t="s">
        <v>578</v>
      </c>
      <c r="F3" s="798">
        <v>10000</v>
      </c>
      <c r="G3" s="798">
        <f>+F3*0.22</f>
        <v>2200</v>
      </c>
      <c r="H3" s="798"/>
      <c r="I3" s="798">
        <f>+F3+G3+H3</f>
        <v>12200</v>
      </c>
      <c r="J3" s="798">
        <v>10000</v>
      </c>
      <c r="K3" s="798">
        <v>10000</v>
      </c>
      <c r="L3" s="798">
        <f>F3-K3</f>
        <v>0</v>
      </c>
      <c r="M3" s="796"/>
    </row>
    <row r="4" spans="1:13" x14ac:dyDescent="0.35">
      <c r="A4" s="796"/>
      <c r="B4" s="799"/>
      <c r="C4" s="799"/>
      <c r="D4" s="797"/>
      <c r="E4" s="797"/>
      <c r="F4" s="800"/>
      <c r="G4" s="798"/>
      <c r="H4" s="798"/>
      <c r="I4" s="798"/>
      <c r="J4" s="798"/>
      <c r="K4" s="798"/>
      <c r="L4" s="798"/>
      <c r="M4" s="799"/>
    </row>
    <row r="5" spans="1:13" x14ac:dyDescent="0.35">
      <c r="A5" s="796"/>
      <c r="B5" s="799"/>
      <c r="C5" s="799"/>
      <c r="D5" s="797"/>
      <c r="E5" s="797"/>
      <c r="F5" s="800"/>
      <c r="G5" s="798"/>
      <c r="H5" s="798"/>
      <c r="I5" s="798"/>
      <c r="J5" s="798"/>
      <c r="K5" s="798"/>
      <c r="L5" s="798"/>
      <c r="M5" s="799"/>
    </row>
    <row r="6" spans="1:13" x14ac:dyDescent="0.35">
      <c r="A6" s="796"/>
      <c r="B6" s="799"/>
      <c r="C6" s="799"/>
      <c r="D6" s="797"/>
      <c r="E6" s="797"/>
      <c r="F6" s="800"/>
      <c r="G6" s="798"/>
      <c r="H6" s="798"/>
      <c r="I6" s="798"/>
      <c r="J6" s="798"/>
      <c r="K6" s="798"/>
      <c r="L6" s="798"/>
      <c r="M6" s="799"/>
    </row>
    <row r="7" spans="1:13" x14ac:dyDescent="0.35">
      <c r="A7" s="796"/>
      <c r="B7" s="799"/>
      <c r="C7" s="799"/>
      <c r="D7" s="797"/>
      <c r="E7" s="797"/>
      <c r="F7" s="800"/>
      <c r="G7" s="798"/>
      <c r="H7" s="798"/>
      <c r="I7" s="798"/>
      <c r="J7" s="798"/>
      <c r="K7" s="798"/>
      <c r="L7" s="798"/>
      <c r="M7" s="799"/>
    </row>
    <row r="8" spans="1:13" x14ac:dyDescent="0.35">
      <c r="A8" s="796"/>
      <c r="B8" s="799"/>
      <c r="C8" s="799"/>
      <c r="D8" s="801"/>
      <c r="E8" s="801" t="s">
        <v>570</v>
      </c>
      <c r="F8" s="802">
        <f>+SUM(F3:F7)</f>
        <v>10000</v>
      </c>
      <c r="G8" s="802">
        <f>+SUM(G3:G7)</f>
        <v>2200</v>
      </c>
      <c r="H8" s="802">
        <f>+SUM(H3:H7)</f>
        <v>0</v>
      </c>
      <c r="I8" s="802">
        <f>+SUM(I3:I7)</f>
        <v>12200</v>
      </c>
      <c r="J8" s="802">
        <f>+SUM(J3:J7)</f>
        <v>10000</v>
      </c>
      <c r="K8" s="802">
        <f t="shared" ref="K8:L8" si="0">+SUM(K3:K7)</f>
        <v>10000</v>
      </c>
      <c r="L8" s="802">
        <f t="shared" si="0"/>
        <v>0</v>
      </c>
      <c r="M8" s="799"/>
    </row>
    <row r="9" spans="1:13" x14ac:dyDescent="0.35">
      <c r="D9" s="803"/>
      <c r="E9" s="803"/>
    </row>
    <row r="10" spans="1:13" x14ac:dyDescent="0.35">
      <c r="D10" s="803"/>
      <c r="E10" s="803"/>
    </row>
    <row r="11" spans="1:13" x14ac:dyDescent="0.35">
      <c r="D11" s="803"/>
      <c r="E11" s="803"/>
    </row>
    <row r="12" spans="1:13" x14ac:dyDescent="0.35">
      <c r="D12" s="803"/>
      <c r="E12" s="803"/>
    </row>
    <row r="13" spans="1:13" x14ac:dyDescent="0.35">
      <c r="D13" s="803"/>
      <c r="E13" s="803"/>
    </row>
    <row r="14" spans="1:13" x14ac:dyDescent="0.35">
      <c r="D14" s="803"/>
      <c r="E14" s="803"/>
    </row>
    <row r="15" spans="1:13" x14ac:dyDescent="0.35">
      <c r="D15" s="803"/>
      <c r="E15" s="803"/>
    </row>
    <row r="16" spans="1:13" x14ac:dyDescent="0.35">
      <c r="D16" s="803"/>
      <c r="E16" s="803"/>
    </row>
    <row r="17" spans="4:5" x14ac:dyDescent="0.35">
      <c r="D17" s="803"/>
      <c r="E17" s="803"/>
    </row>
  </sheetData>
  <dataValidations count="1">
    <dataValidation type="list" allowBlank="1" showInputMessage="1" showErrorMessage="1" sqref="D9" xr:uid="{3C3742A1-FFFE-40AE-86AF-2EFDEB000878}">
      <formula1>CAPOII</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D0430210-CCDC-4D6D-84C0-F99C6D35AC91}">
          <x14:formula1>
            <xm:f>IF('Dati riepilogativi'!$B$2="Capo II",CAPOII,CapoIII_ATT)</xm:f>
          </x14:formula1>
          <xm:sqref>D3:D7</xm:sqref>
        </x14:dataValidation>
        <x14:dataValidation type="list" allowBlank="1" showInputMessage="1" showErrorMessage="1" xr:uid="{199EC6FC-BD38-4F65-B3C7-7E9924DDEC89}">
          <x14:formula1>
            <xm:f>IF('Dati riepilogativi'!$B$2="Capo II",CAPOII,CAPOIII)</xm:f>
          </x14:formula1>
          <xm:sqref>E3:E7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4351A-E247-4349-BD5F-36165C21FBD1}">
  <sheetPr codeName="Foglio12"/>
  <dimension ref="A1:M19"/>
  <sheetViews>
    <sheetView topLeftCell="C1" workbookViewId="0">
      <selection activeCell="C30" sqref="C30"/>
    </sheetView>
  </sheetViews>
  <sheetFormatPr defaultRowHeight="14.5" x14ac:dyDescent="0.35"/>
  <cols>
    <col min="1" max="1" width="54.81640625" customWidth="1"/>
    <col min="2" max="2" width="39.1796875" customWidth="1"/>
    <col min="5" max="5" width="13.54296875" customWidth="1"/>
    <col min="13" max="13" width="9.1796875" customWidth="1"/>
  </cols>
  <sheetData>
    <row r="1" spans="1:13" x14ac:dyDescent="0.35">
      <c r="A1" t="s">
        <v>579</v>
      </c>
      <c r="B1" t="s">
        <v>580</v>
      </c>
      <c r="E1" t="s">
        <v>581</v>
      </c>
      <c r="H1" t="s">
        <v>582</v>
      </c>
      <c r="M1" t="s">
        <v>579</v>
      </c>
    </row>
    <row r="2" spans="1:13" x14ac:dyDescent="0.35">
      <c r="A2" t="s">
        <v>578</v>
      </c>
      <c r="B2" t="s">
        <v>579</v>
      </c>
      <c r="E2" t="s">
        <v>583</v>
      </c>
      <c r="H2" t="s">
        <v>584</v>
      </c>
      <c r="M2" t="s">
        <v>578</v>
      </c>
    </row>
    <row r="3" spans="1:13" x14ac:dyDescent="0.35">
      <c r="A3" t="s">
        <v>585</v>
      </c>
      <c r="B3" t="s">
        <v>578</v>
      </c>
      <c r="E3" t="s">
        <v>586</v>
      </c>
      <c r="H3" t="s">
        <v>587</v>
      </c>
      <c r="M3" t="s">
        <v>585</v>
      </c>
    </row>
    <row r="4" spans="1:13" x14ac:dyDescent="0.35">
      <c r="A4" t="s">
        <v>588</v>
      </c>
      <c r="B4" t="s">
        <v>589</v>
      </c>
      <c r="E4" t="s">
        <v>590</v>
      </c>
      <c r="H4" t="s">
        <v>591</v>
      </c>
      <c r="M4" t="s">
        <v>592</v>
      </c>
    </row>
    <row r="5" spans="1:13" x14ac:dyDescent="0.35">
      <c r="A5" t="s">
        <v>593</v>
      </c>
      <c r="B5" t="s">
        <v>594</v>
      </c>
      <c r="E5" t="s">
        <v>595</v>
      </c>
      <c r="H5" t="s">
        <v>596</v>
      </c>
      <c r="M5" t="s">
        <v>597</v>
      </c>
    </row>
    <row r="6" spans="1:13" ht="29" x14ac:dyDescent="0.35">
      <c r="A6" s="110" t="s">
        <v>598</v>
      </c>
      <c r="E6" t="s">
        <v>599</v>
      </c>
      <c r="H6" t="s">
        <v>600</v>
      </c>
      <c r="M6" t="s">
        <v>601</v>
      </c>
    </row>
    <row r="7" spans="1:13" x14ac:dyDescent="0.35">
      <c r="A7" t="s">
        <v>16</v>
      </c>
      <c r="E7" t="s">
        <v>602</v>
      </c>
      <c r="H7" t="s">
        <v>603</v>
      </c>
    </row>
    <row r="8" spans="1:13" x14ac:dyDescent="0.35">
      <c r="A8" t="s">
        <v>594</v>
      </c>
      <c r="E8" t="s">
        <v>604</v>
      </c>
    </row>
    <row r="9" spans="1:13" x14ac:dyDescent="0.35">
      <c r="E9" t="s">
        <v>605</v>
      </c>
    </row>
    <row r="10" spans="1:13" x14ac:dyDescent="0.35">
      <c r="E10" t="s">
        <v>606</v>
      </c>
    </row>
    <row r="11" spans="1:13" x14ac:dyDescent="0.35">
      <c r="E11" t="s">
        <v>607</v>
      </c>
    </row>
    <row r="12" spans="1:13" x14ac:dyDescent="0.35">
      <c r="E12" t="s">
        <v>608</v>
      </c>
    </row>
    <row r="13" spans="1:13" x14ac:dyDescent="0.35">
      <c r="E13" t="s">
        <v>609</v>
      </c>
    </row>
    <row r="14" spans="1:13" x14ac:dyDescent="0.35">
      <c r="E14" t="s">
        <v>610</v>
      </c>
    </row>
    <row r="15" spans="1:13" x14ac:dyDescent="0.35">
      <c r="E15" t="s">
        <v>611</v>
      </c>
    </row>
    <row r="16" spans="1:13" x14ac:dyDescent="0.35">
      <c r="E16" t="s">
        <v>612</v>
      </c>
    </row>
    <row r="17" spans="5:5" x14ac:dyDescent="0.35">
      <c r="E17" t="s">
        <v>613</v>
      </c>
    </row>
    <row r="18" spans="5:5" x14ac:dyDescent="0.35">
      <c r="E18" t="s">
        <v>614</v>
      </c>
    </row>
    <row r="19" spans="5:5" x14ac:dyDescent="0.35">
      <c r="E19" t="s">
        <v>615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B7CDA-47BA-467B-B8AE-04A1DF45F133}">
  <sheetPr codeName="Foglio11"/>
  <dimension ref="A1:H21"/>
  <sheetViews>
    <sheetView workbookViewId="0">
      <selection activeCell="C30" sqref="C30"/>
    </sheetView>
  </sheetViews>
  <sheetFormatPr defaultRowHeight="14.5" x14ac:dyDescent="0.35"/>
  <cols>
    <col min="1" max="1" width="40.81640625" customWidth="1"/>
    <col min="2" max="2" width="17.81640625" customWidth="1"/>
    <col min="3" max="3" width="13.1796875" customWidth="1"/>
    <col min="4" max="4" width="20.1796875" customWidth="1"/>
    <col min="5" max="5" width="13.54296875" customWidth="1"/>
    <col min="6" max="6" width="18.453125" customWidth="1"/>
    <col min="7" max="7" width="12.453125" customWidth="1"/>
    <col min="8" max="8" width="12.7265625" customWidth="1"/>
  </cols>
  <sheetData>
    <row r="1" spans="1:8" ht="21.5" thickBot="1" x14ac:dyDescent="0.55000000000000004">
      <c r="A1" s="827" t="s">
        <v>373</v>
      </c>
    </row>
    <row r="2" spans="1:8" ht="15" thickBot="1" x14ac:dyDescent="0.4">
      <c r="A2" s="1742" t="s">
        <v>616</v>
      </c>
      <c r="B2" s="1743"/>
      <c r="C2" s="807"/>
      <c r="D2" s="1742" t="s">
        <v>617</v>
      </c>
      <c r="E2" s="1743"/>
      <c r="F2" s="1743"/>
      <c r="G2" s="1744"/>
    </row>
    <row r="3" spans="1:8" ht="41.15" customHeight="1" thickBot="1" x14ac:dyDescent="0.4">
      <c r="A3" s="757" t="s">
        <v>618</v>
      </c>
      <c r="B3" s="804" t="s">
        <v>619</v>
      </c>
      <c r="C3" s="804" t="s">
        <v>620</v>
      </c>
      <c r="D3" s="804" t="s">
        <v>621</v>
      </c>
      <c r="E3" s="804" t="s">
        <v>620</v>
      </c>
      <c r="F3" s="804" t="s">
        <v>622</v>
      </c>
      <c r="G3" s="804" t="s">
        <v>620</v>
      </c>
    </row>
    <row r="4" spans="1:8" x14ac:dyDescent="0.35">
      <c r="A4" s="811" t="s">
        <v>579</v>
      </c>
      <c r="B4" s="1185"/>
      <c r="C4" s="821">
        <f>IFERROR(+B4/B$10,0)</f>
        <v>0</v>
      </c>
      <c r="D4" s="820" cm="1">
        <f t="array" ref="D4">+IFERROR(IF('Dati riepilogativi'!$B$2="Capo II",SUMIF(Macrovoce,A4,Realizzato)+IFERROR(SUMIFS(Realizzato,Macrovoce1,A4,Macrovoce,"Non richiesto da realizzare"),0),0),0)</f>
        <v>0</v>
      </c>
      <c r="E4" s="821">
        <f>IFERROR(+D4/D$10,0)</f>
        <v>0</v>
      </c>
      <c r="F4" s="820">
        <f ca="1">+'Calcolo contributo CAPO II'!D12</f>
        <v>0</v>
      </c>
      <c r="G4" s="821">
        <f ca="1">IFERROR(+F4/F$10,0)</f>
        <v>0</v>
      </c>
    </row>
    <row r="5" spans="1:8" x14ac:dyDescent="0.35">
      <c r="A5" s="808" t="s">
        <v>578</v>
      </c>
      <c r="B5" s="1186"/>
      <c r="C5" s="823">
        <f t="shared" ref="C5:C9" si="0">IFERROR(+B5/$B$10,0)</f>
        <v>0</v>
      </c>
      <c r="D5" s="822" cm="1">
        <f t="array" ref="D5">+IFERROR(IF('Dati riepilogativi'!$B$2="Capo II",SUMIF(Macrovoce,A5,Realizzato)+IFERROR(SUMIFS(Realizzato,Macrovoce1,A5,Macrovoce,"Non richiesto da realizzare"),0),0),0)</f>
        <v>0</v>
      </c>
      <c r="E5" s="823">
        <f t="shared" ref="E5:E9" si="1">IFERROR(+D5/D$10,0)</f>
        <v>0</v>
      </c>
      <c r="F5" s="822">
        <f>+'Calcolo contributo CAPO II'!D13</f>
        <v>0</v>
      </c>
      <c r="G5" s="823">
        <f t="shared" ref="G5:G9" ca="1" si="2">IFERROR(+F5/F$10,0)</f>
        <v>0</v>
      </c>
    </row>
    <row r="6" spans="1:8" ht="43.5" x14ac:dyDescent="0.35">
      <c r="A6" s="808" t="s">
        <v>585</v>
      </c>
      <c r="B6" s="1186"/>
      <c r="C6" s="823">
        <f t="shared" si="0"/>
        <v>0</v>
      </c>
      <c r="D6" s="822" cm="1">
        <f t="array" ref="D6">+IFERROR(IF('Dati riepilogativi'!$B$2="Capo II",SUMIF(Macrovoce,A6,Realizzato)+IFERROR(SUMIFS(Realizzato,Macrovoce1,A6,Macrovoce,"Non richiesto da realizzare"),0),0),0)</f>
        <v>0</v>
      </c>
      <c r="E6" s="823">
        <f t="shared" si="1"/>
        <v>0</v>
      </c>
      <c r="F6" s="822">
        <f>+'Calcolo contributo CAPO II'!D14</f>
        <v>0</v>
      </c>
      <c r="G6" s="823">
        <f t="shared" ca="1" si="2"/>
        <v>0</v>
      </c>
    </row>
    <row r="7" spans="1:8" ht="29" x14ac:dyDescent="0.35">
      <c r="A7" s="808" t="s">
        <v>588</v>
      </c>
      <c r="B7" s="1186"/>
      <c r="C7" s="823">
        <f t="shared" si="0"/>
        <v>0</v>
      </c>
      <c r="D7" s="822" cm="1">
        <f t="array" ref="D7">+IFERROR(IF('Dati riepilogativi'!$B$2="Capo II",SUMIF(Macrovoce,A7,Realizzato)+IFERROR(SUMIFS(Realizzato,Macrovoce1,A7,Macrovoce,"Non richiesto da realizzare"),0),0),0)</f>
        <v>0</v>
      </c>
      <c r="E7" s="823">
        <f t="shared" si="1"/>
        <v>0</v>
      </c>
      <c r="F7" s="822">
        <f>+'Calcolo contributo CAPO II'!D15</f>
        <v>0</v>
      </c>
      <c r="G7" s="823">
        <f t="shared" ca="1" si="2"/>
        <v>0</v>
      </c>
    </row>
    <row r="8" spans="1:8" x14ac:dyDescent="0.35">
      <c r="A8" s="808" t="s">
        <v>593</v>
      </c>
      <c r="B8" s="1186"/>
      <c r="C8" s="823">
        <f t="shared" si="0"/>
        <v>0</v>
      </c>
      <c r="D8" s="822" cm="1">
        <f t="array" ref="D8">+IFERROR(IF('Dati riepilogativi'!$B$2="Capo II",SUMIF(Macrovoce,A8,Realizzato)+IFERROR(SUMIFS(Realizzato,Macrovoce1,A8,Macrovoce,"Non richiesto da realizzare"),0),0),0)</f>
        <v>0</v>
      </c>
      <c r="E8" s="823">
        <f t="shared" si="1"/>
        <v>0</v>
      </c>
      <c r="F8" s="822">
        <f ca="1">+'Calcolo contributo CAPO II'!D16</f>
        <v>0</v>
      </c>
      <c r="G8" s="823">
        <f ca="1">IFERROR(+F8/F$10,0)</f>
        <v>0</v>
      </c>
    </row>
    <row r="9" spans="1:8" ht="44" thickBot="1" x14ac:dyDescent="0.4">
      <c r="A9" s="809" t="s">
        <v>598</v>
      </c>
      <c r="B9" s="1187"/>
      <c r="C9" s="825">
        <f t="shared" si="0"/>
        <v>0</v>
      </c>
      <c r="D9" s="824" cm="1">
        <f t="array" ref="D9">+IFERROR(IF('Dati riepilogativi'!$B$2="Capo II",SUMIF(Macrovoce,A9,Realizzato)+IFERROR(SUMIFS(Realizzato,Macrovoce1,A9,Macrovoce,"Non richiesto da realizzare"),0),0),0)</f>
        <v>0</v>
      </c>
      <c r="E9" s="825">
        <f t="shared" si="1"/>
        <v>0</v>
      </c>
      <c r="F9" s="824">
        <f ca="1">+'Calcolo contributo CAPO II'!D17</f>
        <v>0</v>
      </c>
      <c r="G9" s="825">
        <f t="shared" ca="1" si="2"/>
        <v>0</v>
      </c>
    </row>
    <row r="10" spans="1:8" ht="15" thickBot="1" x14ac:dyDescent="0.4">
      <c r="A10" s="812" t="s">
        <v>623</v>
      </c>
      <c r="B10" s="814">
        <f>+SUM(B4:B9)</f>
        <v>0</v>
      </c>
      <c r="C10" s="815">
        <f>IFERROR(+B10/$B$10,0)</f>
        <v>0</v>
      </c>
      <c r="D10" s="814">
        <f>SUM(D4:D9)</f>
        <v>0</v>
      </c>
      <c r="E10" s="815">
        <f>IFERROR(+D10/$D$10,0)</f>
        <v>0</v>
      </c>
      <c r="F10" s="814">
        <f ca="1">SUM(F4:F9)</f>
        <v>0</v>
      </c>
      <c r="G10" s="815">
        <f ca="1">IFERROR(+F10/$F$10,0)</f>
        <v>0</v>
      </c>
      <c r="H10" t="str">
        <f ca="1">+IF(ROUND(B10,2)&gt;=ROUND(F10,2),"ok","Incremento totale investimento rispetto seconda domanda")</f>
        <v>ok</v>
      </c>
    </row>
    <row r="11" spans="1:8" ht="22.5" customHeight="1" thickBot="1" x14ac:dyDescent="0.4">
      <c r="A11" s="810" t="s">
        <v>624</v>
      </c>
      <c r="B11" s="1188"/>
      <c r="C11" s="817">
        <f>IFERROR(+B11/$B$10,0)</f>
        <v>0</v>
      </c>
      <c r="D11" s="816">
        <f ca="1">+'Calcolo contributo CAPO II'!D21</f>
        <v>0</v>
      </c>
      <c r="E11" s="817">
        <f ca="1">IFERROR(+D11/D$10,0)</f>
        <v>0</v>
      </c>
      <c r="F11" s="816">
        <f ca="1">+'Calcolo contributo CAPO II'!D21</f>
        <v>0</v>
      </c>
      <c r="G11" s="817">
        <f ca="1">IFERROR(+F11/F$10,0)</f>
        <v>0</v>
      </c>
      <c r="H11" s="110" t="str">
        <f ca="1">+IF(AND(B11=0,F11&gt;0),"Capitale circolante non previsto","")</f>
        <v/>
      </c>
    </row>
    <row r="12" spans="1:8" ht="15" thickBot="1" x14ac:dyDescent="0.4">
      <c r="A12" s="805" t="s">
        <v>625</v>
      </c>
      <c r="B12" s="818">
        <f>+B10+B11</f>
        <v>0</v>
      </c>
      <c r="C12" s="819"/>
      <c r="D12" s="818">
        <f ca="1">+D10+D11</f>
        <v>0</v>
      </c>
      <c r="E12" s="819"/>
      <c r="F12" s="818">
        <f ca="1">+F10+F11</f>
        <v>0</v>
      </c>
      <c r="G12" s="819"/>
      <c r="H12" s="318" t="str">
        <f ca="1">+IF(ROUND(B12,2)&gt;=ROUND(F12,2),"ok","Impegno fondi eccessivo rispetto seconda domanda")</f>
        <v>ok</v>
      </c>
    </row>
    <row r="13" spans="1:8" x14ac:dyDescent="0.35">
      <c r="F13" s="813"/>
    </row>
    <row r="14" spans="1:8" ht="30" customHeight="1" thickBot="1" x14ac:dyDescent="0.5">
      <c r="A14" s="826" t="s">
        <v>2</v>
      </c>
    </row>
    <row r="15" spans="1:8" ht="15" customHeight="1" thickBot="1" x14ac:dyDescent="0.4">
      <c r="A15" s="1742" t="s">
        <v>616</v>
      </c>
      <c r="B15" s="1743"/>
      <c r="C15" s="807"/>
      <c r="D15" s="1742" t="s">
        <v>617</v>
      </c>
      <c r="E15" s="1743"/>
      <c r="F15" s="1743"/>
      <c r="G15" s="1744"/>
    </row>
    <row r="16" spans="1:8" ht="29.5" thickBot="1" x14ac:dyDescent="0.4">
      <c r="A16" s="757" t="s">
        <v>618</v>
      </c>
      <c r="B16" s="804" t="s">
        <v>619</v>
      </c>
      <c r="C16" s="804" t="s">
        <v>620</v>
      </c>
      <c r="D16" s="804" t="s">
        <v>621</v>
      </c>
      <c r="E16" s="804" t="s">
        <v>620</v>
      </c>
      <c r="F16" s="804" t="s">
        <v>622</v>
      </c>
      <c r="G16" s="804" t="s">
        <v>620</v>
      </c>
    </row>
    <row r="17" spans="1:8" x14ac:dyDescent="0.35">
      <c r="A17" s="828" t="s">
        <v>580</v>
      </c>
      <c r="B17" s="1185"/>
      <c r="C17" s="821">
        <f>+IFERROR(B17/$B$21,0)</f>
        <v>0</v>
      </c>
      <c r="D17" s="820" cm="1">
        <f t="array" aca="1" ref="D17" ca="1">+IFERROR(IF('Dati riepilogativi'!$B$2="Capo III",SUMIF(Macrovoce,A17,Realizzato)+IFERROR(SUMIFS(Realizzato,Macrovoce1,A17,Macrovoce,"Non richiesto da realizzare"),0),0),0)</f>
        <v>0</v>
      </c>
      <c r="E17" s="821">
        <f ca="1">+IFERROR(D17/$D$21,0)</f>
        <v>0</v>
      </c>
      <c r="F17" s="820">
        <f ca="1">+GBER!D9</f>
        <v>0</v>
      </c>
      <c r="G17" s="821">
        <f ca="1">+IFERROR(F17/$F$21,0)</f>
        <v>0</v>
      </c>
    </row>
    <row r="18" spans="1:8" x14ac:dyDescent="0.35">
      <c r="A18" s="829" t="s">
        <v>579</v>
      </c>
      <c r="B18" s="1186"/>
      <c r="C18" s="823">
        <f t="shared" ref="C18:C20" si="3">+IFERROR(B18/$B$21,0)</f>
        <v>0</v>
      </c>
      <c r="D18" s="822" cm="1">
        <f t="array" aca="1" ref="D18" ca="1">+IFERROR(IF('Dati riepilogativi'!$B$2="Capo III",SUMIF(Macrovoce,A18,Realizzato)+IFERROR(SUMIFS(Realizzato,Macrovoce1,A18,Macrovoce,"Non richiesto da realizzare"),0),0),0)</f>
        <v>0</v>
      </c>
      <c r="E18" s="823">
        <f ca="1">+IFERROR(D18/$D$21,0)</f>
        <v>0</v>
      </c>
      <c r="F18" s="822">
        <f>+GBER!D10</f>
        <v>0</v>
      </c>
      <c r="G18" s="823">
        <f ca="1">+IFERROR(F18/$F$21,0)</f>
        <v>0</v>
      </c>
    </row>
    <row r="19" spans="1:8" x14ac:dyDescent="0.35">
      <c r="A19" s="829" t="s">
        <v>578</v>
      </c>
      <c r="B19" s="1186" t="s">
        <v>626</v>
      </c>
      <c r="C19" s="823">
        <f t="shared" si="3"/>
        <v>0</v>
      </c>
      <c r="D19" s="822" cm="1">
        <f t="array" aca="1" ref="D19" ca="1">+IFERROR(IF('Dati riepilogativi'!$B$2="Capo III",SUMIF(Macrovoce,A19,Realizzato)+IFERROR(SUMIFS(Realizzato,Macrovoce1,A19,Macrovoce,"Non richiesto da realizzare"),0),0),0)</f>
        <v>10000</v>
      </c>
      <c r="E19" s="823">
        <f ca="1">+IFERROR(D19/$D$21,0)</f>
        <v>1</v>
      </c>
      <c r="F19" s="822">
        <f>+GBER!D11</f>
        <v>0</v>
      </c>
      <c r="G19" s="823">
        <f ca="1">+IFERROR(F19/$F$21,0)</f>
        <v>0</v>
      </c>
    </row>
    <row r="20" spans="1:8" x14ac:dyDescent="0.35">
      <c r="A20" s="830" t="s">
        <v>589</v>
      </c>
      <c r="B20" s="1189"/>
      <c r="C20" s="831">
        <f t="shared" si="3"/>
        <v>0</v>
      </c>
      <c r="D20" s="832" cm="1">
        <f t="array" aca="1" ref="D20" ca="1">+IFERROR(IF('Dati riepilogativi'!$B$2="Capo III",SUMIF(Macrovoce,A20,Realizzato)+IFERROR(SUMIFS(Realizzato,Macrovoce1,A20,Macrovoce,"Non richiesto da realizzare"),0),0),0)</f>
        <v>0</v>
      </c>
      <c r="E20" s="831">
        <f ca="1">+IFERROR(D20/$D$21,0)</f>
        <v>0</v>
      </c>
      <c r="F20" s="832">
        <f ca="1">+GBER!D13</f>
        <v>0</v>
      </c>
      <c r="G20" s="831">
        <f ca="1">+IFERROR(F20/$F$21,0)</f>
        <v>0</v>
      </c>
    </row>
    <row r="21" spans="1:8" x14ac:dyDescent="0.35">
      <c r="A21" s="805" t="s">
        <v>625</v>
      </c>
      <c r="B21" s="833">
        <f>+SUM(B17:B20)</f>
        <v>0</v>
      </c>
      <c r="C21" s="834">
        <f>+IFERROR(B21/$B$21,0)</f>
        <v>0</v>
      </c>
      <c r="D21" s="833">
        <f ca="1">+SUM(D17:D20)</f>
        <v>10000</v>
      </c>
      <c r="E21" s="834">
        <f ca="1">+IFERROR(D21/$D$21,0)</f>
        <v>1</v>
      </c>
      <c r="F21" s="833">
        <f ca="1">+SUM(F17:F20)</f>
        <v>0</v>
      </c>
      <c r="G21" s="834">
        <f ca="1">+IFERROR(F21/$F$21,0)</f>
        <v>0</v>
      </c>
      <c r="H21" t="str">
        <f ca="1">+IF(ROUND(B21,2)&gt;=ROUND(F21,2),"ok","Impegno fondi eccessivo rispetto seconda domanda")</f>
        <v>ok</v>
      </c>
    </row>
  </sheetData>
  <mergeCells count="4">
    <mergeCell ref="A2:B2"/>
    <mergeCell ref="A15:B15"/>
    <mergeCell ref="D2:G2"/>
    <mergeCell ref="D15:G15"/>
  </mergeCells>
  <pageMargins left="0.7" right="0.7" top="0.75" bottom="0.75" header="0.3" footer="0.3"/>
  <pageSetup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29220-2B9C-4A0D-BCE0-89C367036BC8}">
  <sheetPr codeName="Foglio13"/>
  <dimension ref="A1:XFC105"/>
  <sheetViews>
    <sheetView topLeftCell="A13" zoomScale="85" zoomScaleNormal="85" workbookViewId="0">
      <selection activeCell="C30" sqref="C30"/>
    </sheetView>
  </sheetViews>
  <sheetFormatPr defaultColWidth="0" defaultRowHeight="14.5" zeroHeight="1" x14ac:dyDescent="0.35"/>
  <cols>
    <col min="1" max="1" width="51.1796875" style="608" customWidth="1"/>
    <col min="2" max="2" width="55.7265625" style="608" customWidth="1"/>
    <col min="3" max="3" width="39.54296875" style="608" customWidth="1"/>
    <col min="4" max="4" width="29" style="608" customWidth="1"/>
    <col min="5" max="5" width="38" style="608" hidden="1"/>
    <col min="6" max="6" width="14.1796875" style="608" hidden="1"/>
    <col min="7" max="7" width="15.54296875" style="608" hidden="1"/>
    <col min="8" max="8" width="26.7265625" style="608" hidden="1"/>
    <col min="9" max="9" width="13" style="608" hidden="1"/>
    <col min="10" max="10" width="61.453125" style="608" hidden="1"/>
    <col min="11" max="11" width="22.1796875" style="608" hidden="1"/>
    <col min="12" max="16383" width="9.1796875" style="608" hidden="1"/>
    <col min="16384" max="16384" width="0.453125" style="608" hidden="1"/>
  </cols>
  <sheetData>
    <row r="1" spans="1:11" ht="50.5" customHeight="1" thickBot="1" x14ac:dyDescent="0.4">
      <c r="A1" s="1335"/>
      <c r="B1" s="1335"/>
      <c r="C1" s="1335"/>
      <c r="D1" s="1335"/>
    </row>
    <row r="2" spans="1:11" ht="50.15" customHeight="1" thickBot="1" x14ac:dyDescent="0.4">
      <c r="A2" s="1348" t="s">
        <v>1550</v>
      </c>
      <c r="B2" s="1335"/>
      <c r="C2" s="1335"/>
      <c r="D2" s="1335"/>
    </row>
    <row r="3" spans="1:11" ht="87.75" customHeight="1" thickBot="1" x14ac:dyDescent="0.4">
      <c r="A3" s="1354" t="s">
        <v>1551</v>
      </c>
      <c r="B3" s="1335"/>
      <c r="C3" s="1335"/>
      <c r="D3" s="1335"/>
      <c r="H3" s="608" t="s">
        <v>1552</v>
      </c>
    </row>
    <row r="4" spans="1:11" ht="25.5" customHeight="1" thickTop="1" thickBot="1" x14ac:dyDescent="0.4">
      <c r="A4" s="1335"/>
      <c r="B4" s="609" t="s">
        <v>1553</v>
      </c>
      <c r="C4" s="609" t="s">
        <v>1554</v>
      </c>
      <c r="D4" s="609" t="s">
        <v>1555</v>
      </c>
      <c r="F4" s="610"/>
      <c r="H4" s="1324" t="str">
        <f>+IFERROR(IF(C5="Altro","FALSO",IF(+MATCH(D5,Comuni_107_3_C!$CZ$2:$CZ$45,0)&lt;&gt;0,"VERO", "FALSO")),"FALSO")</f>
        <v>VERO</v>
      </c>
    </row>
    <row r="5" spans="1:11" ht="16.5" customHeight="1" thickTop="1" thickBot="1" x14ac:dyDescent="0.4">
      <c r="A5" s="1335"/>
      <c r="B5" s="1343" t="s">
        <v>634</v>
      </c>
      <c r="C5" s="1343" t="s">
        <v>639</v>
      </c>
      <c r="D5" s="1343" t="s">
        <v>701</v>
      </c>
      <c r="H5" s="611"/>
    </row>
    <row r="6" spans="1:11" ht="27" customHeight="1" thickTop="1" x14ac:dyDescent="0.35">
      <c r="A6" s="1335"/>
      <c r="B6" s="1745" t="str">
        <f>+IF(OR(C5="Altro",D5="Altro"),"ATTENZIONE, LA SEDE OPERATIVA NON RIENTRA NEI COMUNI OGGETTO DEL BANDO","")</f>
        <v/>
      </c>
      <c r="C6" s="1745"/>
      <c r="D6" s="1745"/>
    </row>
    <row r="7" spans="1:11" ht="27" customHeight="1" thickBot="1" x14ac:dyDescent="0.4">
      <c r="A7" s="1335"/>
      <c r="B7" s="1746"/>
      <c r="C7" s="1746"/>
      <c r="D7" s="1746"/>
    </row>
    <row r="8" spans="1:11" ht="41.25" customHeight="1" thickTop="1" thickBot="1" x14ac:dyDescent="0.4">
      <c r="A8" s="1335"/>
      <c r="B8" s="1747" t="s">
        <v>1556</v>
      </c>
      <c r="C8" s="1748"/>
      <c r="D8" s="1749"/>
      <c r="H8" s="608" t="s">
        <v>1557</v>
      </c>
      <c r="J8" s="608" t="s">
        <v>1558</v>
      </c>
      <c r="K8" s="608" t="s">
        <v>1559</v>
      </c>
    </row>
    <row r="9" spans="1:11" ht="71.25" customHeight="1" thickTop="1" thickBot="1" x14ac:dyDescent="0.4">
      <c r="A9" s="1335"/>
      <c r="B9" s="1365" t="s">
        <v>1560</v>
      </c>
      <c r="C9" s="1342" t="s">
        <v>1561</v>
      </c>
      <c r="D9" s="1342" t="s">
        <v>1562</v>
      </c>
      <c r="H9" s="608" t="str">
        <f>IF(AND(J9="FALSO",K9="FALSO"),"NEUTRA",IF(J9="VERO","Art. 107.3.a","Art. 107.3.c"))</f>
        <v>Art. 107.3.c</v>
      </c>
      <c r="J9" s="608" t="str">
        <f>IF(OR(B5=B50,B5=B51,B52=B5,B61=B5,B62=B5,B63=B5,B59=B5),"VERO","FALSO")</f>
        <v>FALSO</v>
      </c>
      <c r="K9" s="1324" t="str">
        <f>+IF(OR(C5="Altro",D5="Altro",SUMIF(Comuni_107_3_C!$BT$2:$BT$161,D5,Comuni_107_3_C!$BX$2:$BX$161)=0),"FALSO","VERO")</f>
        <v>VERO</v>
      </c>
    </row>
    <row r="10" spans="1:11" ht="33" customHeight="1" thickTop="1" thickBot="1" x14ac:dyDescent="0.4">
      <c r="A10" s="1335"/>
      <c r="B10" s="1347" t="s">
        <v>1563</v>
      </c>
      <c r="C10" s="1344" t="s">
        <v>1563</v>
      </c>
      <c r="D10" s="1344" t="s">
        <v>1563</v>
      </c>
      <c r="E10" s="1327"/>
    </row>
    <row r="11" spans="1:11" ht="30" thickTop="1" thickBot="1" x14ac:dyDescent="0.4">
      <c r="A11" s="1335"/>
      <c r="B11" s="1367" t="s">
        <v>1564</v>
      </c>
      <c r="C11" s="1368" t="s">
        <v>1565</v>
      </c>
      <c r="D11" s="1369" t="s">
        <v>1566</v>
      </c>
      <c r="E11" s="1326" t="s">
        <v>1567</v>
      </c>
      <c r="F11" s="615" t="s">
        <v>1568</v>
      </c>
      <c r="J11" s="608" t="str">
        <f>IF(AND(J9="FALSO",K9="FALSO"),"NEUTRA",IF(J9="VERO","Art. 107.3.a","Art. 107.3.c"))</f>
        <v>Art. 107.3.c</v>
      </c>
    </row>
    <row r="12" spans="1:11" ht="16" customHeight="1" x14ac:dyDescent="0.35">
      <c r="A12" s="1335"/>
      <c r="B12" s="1370" t="s">
        <v>579</v>
      </c>
      <c r="C12" s="1457">
        <f>SUMIF('Dettaglio Investimento'!E:E,B12,'Dettaglio Investimento'!F:F)</f>
        <v>0</v>
      </c>
      <c r="D12" s="1371">
        <f ca="1">+IF(C12&gt;$D$18*E12,$D$18*E12,C12)</f>
        <v>0</v>
      </c>
      <c r="E12" s="1321">
        <v>0.5</v>
      </c>
      <c r="F12" s="618">
        <f t="shared" ref="F12:F17" si="0">IFERROR(C12/$C$18,0)</f>
        <v>0</v>
      </c>
    </row>
    <row r="13" spans="1:11" ht="16" customHeight="1" x14ac:dyDescent="0.35">
      <c r="A13" s="1335"/>
      <c r="B13" s="1372" t="s">
        <v>578</v>
      </c>
      <c r="C13" s="1457">
        <f>SUMIF('Dettaglio Investimento'!E:E,B13,'Dettaglio Investimento'!F:F)</f>
        <v>0</v>
      </c>
      <c r="D13" s="1371">
        <f>C13</f>
        <v>0</v>
      </c>
      <c r="E13" s="617">
        <v>1</v>
      </c>
      <c r="F13" s="618">
        <f t="shared" si="0"/>
        <v>0</v>
      </c>
    </row>
    <row r="14" spans="1:11" ht="33" customHeight="1" x14ac:dyDescent="0.35">
      <c r="A14" s="1335"/>
      <c r="B14" s="1373" t="s">
        <v>585</v>
      </c>
      <c r="C14" s="1457">
        <f>SUMIF('Dettaglio Investimento'!E:E,B14,'Dettaglio Investimento'!F:F)</f>
        <v>0</v>
      </c>
      <c r="D14" s="1371">
        <f>C14</f>
        <v>0</v>
      </c>
      <c r="E14" s="617">
        <v>1</v>
      </c>
      <c r="F14" s="618">
        <f t="shared" si="0"/>
        <v>0</v>
      </c>
    </row>
    <row r="15" spans="1:11" ht="16" customHeight="1" x14ac:dyDescent="0.35">
      <c r="A15" s="1335"/>
      <c r="B15" s="1372" t="s">
        <v>1569</v>
      </c>
      <c r="C15" s="1457">
        <f>SUMIF('Dettaglio Investimento'!E:E,B15,'Dettaglio Investimento'!F:F)</f>
        <v>0</v>
      </c>
      <c r="D15" s="1371">
        <f>C15</f>
        <v>0</v>
      </c>
      <c r="E15" s="617">
        <v>1</v>
      </c>
      <c r="F15" s="618">
        <f t="shared" si="0"/>
        <v>0</v>
      </c>
    </row>
    <row r="16" spans="1:11" ht="16" customHeight="1" x14ac:dyDescent="0.35">
      <c r="A16" s="1335"/>
      <c r="B16" s="1372" t="s">
        <v>593</v>
      </c>
      <c r="C16" s="1457">
        <f>SUMIF('Dettaglio Investimento'!E:E,B16,'Dettaglio Investimento'!F:F)</f>
        <v>0</v>
      </c>
      <c r="D16" s="1371">
        <f ca="1">IF(C16&gt;$D$18*E16,$D$18*E16,C16)</f>
        <v>0</v>
      </c>
      <c r="E16" s="1321">
        <v>0.15</v>
      </c>
      <c r="F16" s="618">
        <f t="shared" si="0"/>
        <v>0</v>
      </c>
    </row>
    <row r="17" spans="1:19" ht="34.5" customHeight="1" thickBot="1" x14ac:dyDescent="0.4">
      <c r="A17" s="1335"/>
      <c r="B17" s="1374" t="s">
        <v>601</v>
      </c>
      <c r="C17" s="1457">
        <f>SUMIF('Dettaglio Investimento'!E:E,B17,'Dettaglio Investimento'!F:F)</f>
        <v>0</v>
      </c>
      <c r="D17" s="1375">
        <f ca="1">IF(C17&gt;$D$18*E17,$D$18*E17,C17)</f>
        <v>0</v>
      </c>
      <c r="E17" s="623">
        <v>1</v>
      </c>
      <c r="F17" s="624">
        <f t="shared" si="0"/>
        <v>0</v>
      </c>
    </row>
    <row r="18" spans="1:19" ht="15.5" thickTop="1" thickBot="1" x14ac:dyDescent="0.4">
      <c r="A18" s="1335"/>
      <c r="B18" s="1395" t="s">
        <v>1570</v>
      </c>
      <c r="C18" s="1396">
        <f>SUM(C12:C17)</f>
        <v>0</v>
      </c>
      <c r="D18" s="1397">
        <f ca="1">SUM(D12:D17)</f>
        <v>0</v>
      </c>
    </row>
    <row r="19" spans="1:19" ht="22.5" customHeight="1" thickTop="1" x14ac:dyDescent="0.35">
      <c r="A19" s="1335"/>
      <c r="B19" s="1335"/>
      <c r="C19" s="1337"/>
      <c r="D19" s="1335"/>
      <c r="E19" s="628"/>
      <c r="H19" s="629">
        <v>1250000</v>
      </c>
    </row>
    <row r="20" spans="1:19" ht="15" hidden="1" thickBot="1" x14ac:dyDescent="0.4">
      <c r="A20" s="1335"/>
      <c r="B20" s="1751" t="s">
        <v>16</v>
      </c>
      <c r="C20" s="1360" t="s">
        <v>1571</v>
      </c>
      <c r="D20" s="1360" t="s">
        <v>1572</v>
      </c>
      <c r="E20" s="614" t="s">
        <v>1573</v>
      </c>
      <c r="F20" s="614" t="s">
        <v>1574</v>
      </c>
      <c r="H20" s="629">
        <v>250000</v>
      </c>
    </row>
    <row r="21" spans="1:19" ht="15" hidden="1" thickBot="1" x14ac:dyDescent="0.4">
      <c r="A21" s="1335"/>
      <c r="B21" s="1752"/>
      <c r="C21" s="1361"/>
      <c r="D21" s="1362">
        <f ca="1">IF(C21&gt;(D18*E21),D18*E21,C21)</f>
        <v>0</v>
      </c>
      <c r="E21" s="630">
        <v>0.2</v>
      </c>
      <c r="F21" s="631" t="e">
        <f>C21/C18</f>
        <v>#DIV/0!</v>
      </c>
      <c r="H21" s="629"/>
    </row>
    <row r="22" spans="1:19" ht="15" thickBot="1" x14ac:dyDescent="0.4">
      <c r="A22" s="1335"/>
      <c r="B22" s="1335"/>
      <c r="C22" s="1337"/>
      <c r="D22" s="1335"/>
      <c r="E22" s="628"/>
      <c r="F22" s="632"/>
    </row>
    <row r="23" spans="1:19" ht="93.75" customHeight="1" thickTop="1" thickBot="1" x14ac:dyDescent="0.4">
      <c r="A23" s="1335"/>
      <c r="B23" s="1398" t="s">
        <v>1575</v>
      </c>
      <c r="C23" s="1364" t="str">
        <f>IF(+C18&gt;C43,"ATTENZIONE: Le spese d'investimento ipotizzate superano il limite di € 1.500.000 stabilito dall'Allegato n. 3 all’Ordinanza n. … del … 2022 - “Misura B.1.3 c",IF(C18&lt;C44,"ATTENZIONE: Le spese d'investimento ipotizzate sono inferiori al limite minimo di € 400.000 stabilito dall'Allegato n. 3 all’Ordinanza n. … del … 2022 - “Misura B.1.3 c",D18+D21))</f>
        <v>ATTENZIONE: Le spese d'investimento ipotizzate sono inferiori al limite minimo di € 400.000 stabilito dall'Allegato n. 3 all’Ordinanza n. … del … 2022 - “Misura B.1.3 c</v>
      </c>
      <c r="D23" s="1335"/>
    </row>
    <row r="24" spans="1:19" ht="89.5" hidden="1" customHeight="1" thickTop="1" thickBot="1" x14ac:dyDescent="0.4">
      <c r="A24" s="1335"/>
      <c r="B24" s="1363" t="s">
        <v>1576</v>
      </c>
      <c r="C24" s="1357" t="str">
        <f>IF(+C18&gt;C43,"ATTENZIONE: Le spese d'investimento ipotizzate superano il limite di € 1.500.000 stabilito dall'Allegato n. 3 all’Ordinanza n. … del … 2022 - “Misura B.1.3 c",IF(C18&lt;C44,"ATTENZIONE: Le spese d'investimento ipotizzate sono inferiori al limite minimo di € 400.000 stabilito dall'Allegato n. 3 all’Ordinanza n. … del … 2022 - “Misura B.1.3 c",D18+D21))</f>
        <v>ATTENZIONE: Le spese d'investimento ipotizzate sono inferiori al limite minimo di € 400.000 stabilito dall'Allegato n. 3 all’Ordinanza n. … del … 2022 - “Misura B.1.3 c</v>
      </c>
      <c r="D24" s="1335"/>
    </row>
    <row r="25" spans="1:19" ht="9" customHeight="1" thickTop="1" x14ac:dyDescent="0.35">
      <c r="A25" s="1335"/>
      <c r="B25" s="1336"/>
      <c r="C25" s="1337"/>
      <c r="D25" s="1335"/>
    </row>
    <row r="26" spans="1:19" ht="8.5" customHeight="1" x14ac:dyDescent="0.35">
      <c r="A26" s="1335"/>
      <c r="B26" s="1335"/>
      <c r="C26" s="1335"/>
      <c r="D26" s="1335"/>
    </row>
    <row r="27" spans="1:19" ht="8.5" customHeight="1" x14ac:dyDescent="0.35">
      <c r="A27" s="1335"/>
      <c r="B27" s="1335"/>
      <c r="C27" s="1335"/>
      <c r="D27" s="1335"/>
      <c r="L27" s="633"/>
      <c r="N27" s="633"/>
    </row>
    <row r="28" spans="1:19" ht="8.5" customHeight="1" thickBot="1" x14ac:dyDescent="0.4">
      <c r="A28" s="1335"/>
      <c r="B28" s="1335"/>
      <c r="C28" s="1335"/>
      <c r="D28" s="1335"/>
      <c r="L28" s="633"/>
      <c r="N28" s="633"/>
    </row>
    <row r="29" spans="1:19" ht="24" customHeight="1" thickTop="1" thickBot="1" x14ac:dyDescent="0.4">
      <c r="A29" s="1335"/>
      <c r="C29" s="1366" t="s">
        <v>1577</v>
      </c>
      <c r="D29" s="1338" t="s">
        <v>1578</v>
      </c>
      <c r="E29" s="634" t="s">
        <v>1579</v>
      </c>
      <c r="F29" s="634" t="s">
        <v>1580</v>
      </c>
      <c r="G29" s="634" t="s">
        <v>1581</v>
      </c>
      <c r="H29" s="608" t="s">
        <v>1582</v>
      </c>
      <c r="I29" s="608" t="s">
        <v>1583</v>
      </c>
      <c r="J29" s="608" t="s">
        <v>1584</v>
      </c>
      <c r="L29" s="633"/>
      <c r="N29" s="633"/>
      <c r="S29" s="633"/>
    </row>
    <row r="30" spans="1:19" ht="24" customHeight="1" thickTop="1" x14ac:dyDescent="0.35">
      <c r="A30" s="1335"/>
      <c r="B30" s="1376" t="s">
        <v>1585</v>
      </c>
      <c r="C30" s="1379" t="e">
        <f>ROUND(IF(AND(C31=0,C33=0),E30,
IF(C33=0,E30-C31,
IF(OR(((C37-D33-D31)*C24)+C31&gt;E30,((C37-D33-D31)*C24)+C31&gt;((1-G31-G30)*C38)),MIN(E30-C31,((1-G31-G30)*C38),(C37-D33-D31)*C24),(C37-D33-D31)*C24))),2)</f>
        <v>#VALUE!</v>
      </c>
      <c r="D30" s="1339"/>
      <c r="E30" s="633" t="e">
        <f>IF((C37*(C24))&gt;C38,C38,(C37*(C24)))</f>
        <v>#VALUE!</v>
      </c>
      <c r="F30" s="637" t="e">
        <f>E30/C38</f>
        <v>#VALUE!</v>
      </c>
      <c r="G30" s="637">
        <f>C31/C38</f>
        <v>0</v>
      </c>
      <c r="H30" s="629" t="e">
        <f>IF(C30&lt;0,C30,"")</f>
        <v>#VALUE!</v>
      </c>
      <c r="I30" s="608" t="e">
        <f>IF(H30="",0,1)</f>
        <v>#VALUE!</v>
      </c>
      <c r="J30" s="608" t="s">
        <v>1586</v>
      </c>
      <c r="L30" s="633"/>
      <c r="N30" s="633"/>
    </row>
    <row r="31" spans="1:19" ht="24" customHeight="1" x14ac:dyDescent="0.35">
      <c r="A31" s="1335"/>
      <c r="B31" s="1377" t="s">
        <v>1587</v>
      </c>
      <c r="C31" s="1380"/>
      <c r="D31" s="1340" t="e">
        <f>(C31/C24)</f>
        <v>#VALUE!</v>
      </c>
      <c r="E31" s="628" t="e">
        <f>IF(C41=400000,IF((C23*C40)&gt;C47,C47,C23*C40),IF((C23*C40)&gt;C41,C41,C23*C40))</f>
        <v>#VALUE!</v>
      </c>
      <c r="F31" s="637" t="e">
        <f>E31/C41</f>
        <v>#VALUE!</v>
      </c>
      <c r="G31" s="637">
        <f>C33/C41</f>
        <v>0</v>
      </c>
      <c r="H31" s="629" t="e">
        <f>IF(C32&lt;0,C32,"")</f>
        <v>#VALUE!</v>
      </c>
      <c r="I31" s="608" t="e">
        <f>IF(H31="",0,1)</f>
        <v>#VALUE!</v>
      </c>
      <c r="J31" s="608" t="s">
        <v>1588</v>
      </c>
      <c r="L31" s="633"/>
      <c r="N31" s="633"/>
    </row>
    <row r="32" spans="1:19" ht="24" customHeight="1" x14ac:dyDescent="0.35">
      <c r="A32" s="1335"/>
      <c r="B32" s="1377" t="s">
        <v>1589</v>
      </c>
      <c r="C32" s="1381" t="e">
        <f>ROUND(IF(AND(C31=0,C33=0),E31,
IF(C41=0,E31-C31,
IF(OR(((C37-D33-D31)*C24)+C33&gt;E31,((C37-D33-D31)*C24)+C33&gt;((1-G31-G30)*C38)),MIN(E31-C33,((1-G31-G30)*C41)),(C37-D33-D31)*C24))),2)</f>
        <v>#VALUE!</v>
      </c>
      <c r="D32" s="1358" t="s">
        <v>1590</v>
      </c>
      <c r="F32" s="638" t="e">
        <f>SUM(F30:F31)</f>
        <v>#VALUE!</v>
      </c>
      <c r="G32" s="638">
        <f>SUM(G30:G31)</f>
        <v>0</v>
      </c>
      <c r="I32" s="608" t="e">
        <f>I30+I31</f>
        <v>#VALUE!</v>
      </c>
      <c r="L32" s="633"/>
      <c r="N32" s="633"/>
    </row>
    <row r="33" spans="1:14" ht="35.25" customHeight="1" thickBot="1" x14ac:dyDescent="0.4">
      <c r="A33" s="1335"/>
      <c r="B33" s="1378" t="s">
        <v>1591</v>
      </c>
      <c r="C33" s="1382"/>
      <c r="D33" s="1340" t="e">
        <f>C33/C24</f>
        <v>#VALUE!</v>
      </c>
      <c r="J33" s="639" t="e">
        <f>IF(I32=2,_xlfn.CONCAT(J29,H30),IF(I31=1,_xlfn.CONCAT(J31,H31),IF(I30=1,_xlfn.CONCAT(J30,H30),"")))</f>
        <v>#VALUE!</v>
      </c>
      <c r="L33" s="633"/>
      <c r="N33" s="633"/>
    </row>
    <row r="34" spans="1:14" ht="15.5" thickTop="1" thickBot="1" x14ac:dyDescent="0.4">
      <c r="A34" s="1335"/>
      <c r="B34" s="1393" t="s">
        <v>1592</v>
      </c>
      <c r="C34" s="1394">
        <f>SUM(C31,C33)</f>
        <v>0</v>
      </c>
      <c r="D34" s="1341" t="e">
        <f>(C31+C33)/C24</f>
        <v>#VALUE!</v>
      </c>
      <c r="E34" s="640" t="e">
        <f>D34*100</f>
        <v>#VALUE!</v>
      </c>
      <c r="F34" s="633">
        <f>C18-C34</f>
        <v>0</v>
      </c>
      <c r="H34" s="641" t="str">
        <f>IF(C31=0,"",CONCATENATE(TEXT(H30,"€ #.##0,00")," sul mutuo"))</f>
        <v/>
      </c>
      <c r="L34" s="633"/>
      <c r="N34" s="633"/>
    </row>
    <row r="35" spans="1:14" hidden="1" x14ac:dyDescent="0.35">
      <c r="D35" s="642"/>
      <c r="E35" s="633"/>
      <c r="H35" s="641" t="str">
        <f>IF(C33=0,"",CONCATENATE(TEXT(H31,"€ #.##0,00")," sul fondo perduto"))</f>
        <v/>
      </c>
      <c r="L35" s="633"/>
      <c r="N35" s="633"/>
    </row>
    <row r="36" spans="1:14" hidden="1" x14ac:dyDescent="0.35">
      <c r="B36" s="1753" t="s">
        <v>1593</v>
      </c>
      <c r="C36" s="1753"/>
      <c r="D36" s="636"/>
      <c r="E36" s="633"/>
      <c r="H36" s="641" t="str">
        <f>IF(AND(H34&lt;&gt;"",H35&lt;&gt;"")," e di ","")</f>
        <v/>
      </c>
      <c r="L36" s="633"/>
      <c r="N36" s="633"/>
    </row>
    <row r="37" spans="1:14" hidden="1" x14ac:dyDescent="0.35">
      <c r="B37" s="608" t="s">
        <v>1594</v>
      </c>
      <c r="C37" s="1323">
        <f>IF(OR(B10="SI",C10="SI",H4="VERO"),0.9,0.8)</f>
        <v>0.9</v>
      </c>
      <c r="D37" s="636"/>
      <c r="E37" s="608">
        <v>0</v>
      </c>
      <c r="F37" s="633" t="e">
        <f>+((C37-D33-D31)*C24)+C33</f>
        <v>#VALUE!</v>
      </c>
    </row>
    <row r="38" spans="1:14" hidden="1" x14ac:dyDescent="0.35">
      <c r="B38" s="608" t="s">
        <v>1595</v>
      </c>
      <c r="C38" s="643">
        <f>IF(H9=B71,1000000,IF(H9=B72,1500000,IF(H9=B73,2000000,1000000)))*IF(D10="SI",2,1)</f>
        <v>1500000</v>
      </c>
      <c r="D38" s="636"/>
      <c r="J38" s="628"/>
    </row>
    <row r="39" spans="1:14" hidden="1" x14ac:dyDescent="0.35">
      <c r="B39" s="1324" t="s">
        <v>1596</v>
      </c>
      <c r="C39" s="1323"/>
      <c r="D39" s="636"/>
      <c r="J39" s="628"/>
    </row>
    <row r="40" spans="1:14" hidden="1" x14ac:dyDescent="0.35">
      <c r="B40" s="1324" t="s">
        <v>1597</v>
      </c>
      <c r="C40" s="1323">
        <v>0.5</v>
      </c>
      <c r="J40" s="628"/>
    </row>
    <row r="41" spans="1:14" hidden="1" x14ac:dyDescent="0.35">
      <c r="B41" s="608" t="s">
        <v>1598</v>
      </c>
      <c r="C41" s="644">
        <f>IF(H9=B71,400000,IF(H9=B72,600000,IF(H9=B73,800000,400000)))*IF(D10="SI",2,1)</f>
        <v>600000</v>
      </c>
      <c r="J41" s="628"/>
    </row>
    <row r="42" spans="1:14" ht="92.15" hidden="1" customHeight="1" x14ac:dyDescent="0.35">
      <c r="B42" s="608" t="s">
        <v>1599</v>
      </c>
      <c r="C42" s="645">
        <v>0.9</v>
      </c>
      <c r="E42" s="646" t="e">
        <f>ROUND(IF(AND(C31=0,C33=0),E30,
IF(C33=0,E30-C31,
IF(OR(((C37-D33-D31)*C24)+C31&gt;E30,((C37-D33-D31)*C24)+C31&gt;((1-G31)*C38)),MIN(E30-C31,((1-G31-G30)*C38)),(C37-D33-D31)*C24))),2)</f>
        <v>#VALUE!</v>
      </c>
      <c r="H42" s="647" t="s">
        <v>1600</v>
      </c>
      <c r="I42" s="648" t="s">
        <v>1601</v>
      </c>
      <c r="J42" s="628"/>
    </row>
    <row r="43" spans="1:14" ht="66.650000000000006" hidden="1" customHeight="1" x14ac:dyDescent="0.35">
      <c r="B43" s="608" t="s">
        <v>1602</v>
      </c>
      <c r="C43" s="627">
        <v>1500000</v>
      </c>
      <c r="E43" s="608" t="e">
        <f>+IF(OR(((C37-D33-D31)*C24)+C31&gt;E30,((C37-D33-D31)*C24)+C31&gt;((1-G31)*C38)),E30-C31,(1-G31*C38))</f>
        <v>#VALUE!</v>
      </c>
      <c r="H43" s="648" t="s">
        <v>1603</v>
      </c>
      <c r="J43" s="628"/>
    </row>
    <row r="44" spans="1:14" hidden="1" x14ac:dyDescent="0.35">
      <c r="B44" s="608" t="s">
        <v>1604</v>
      </c>
      <c r="C44" s="1322">
        <v>400000</v>
      </c>
      <c r="E44" s="608" t="e">
        <f>+IF(((C37-D33-D31)*C24)+C31&gt;E30,"VERO","f")</f>
        <v>#VALUE!</v>
      </c>
      <c r="F44" s="633" t="e">
        <f>E30-C31</f>
        <v>#VALUE!</v>
      </c>
      <c r="J44" s="628"/>
    </row>
    <row r="45" spans="1:14" hidden="1" x14ac:dyDescent="0.35">
      <c r="E45" s="608" t="e">
        <f>+IF(((C37-D33-D31)*C24)+C31&gt;((1-G31)*C38),"VERO","f")</f>
        <v>#VALUE!</v>
      </c>
      <c r="J45" s="628"/>
    </row>
    <row r="46" spans="1:14" hidden="1" x14ac:dyDescent="0.35">
      <c r="B46" s="1324" t="s">
        <v>1605</v>
      </c>
      <c r="C46" s="1325" t="str">
        <f>IF(C33&gt;C31,"ALLERT: La Circolare prevede come il mutuo debba essere almeno pari al fondo perduto richiesto","")</f>
        <v/>
      </c>
      <c r="J46" s="628"/>
    </row>
    <row r="47" spans="1:14" hidden="1" x14ac:dyDescent="0.35">
      <c r="C47" s="628">
        <v>285714.28673726198</v>
      </c>
      <c r="J47" s="628"/>
    </row>
    <row r="48" spans="1:14" hidden="1" x14ac:dyDescent="0.35">
      <c r="B48" s="608" t="s">
        <v>1606</v>
      </c>
      <c r="J48" s="628"/>
    </row>
    <row r="49" spans="2:7" hidden="1" x14ac:dyDescent="0.35">
      <c r="B49" s="608" t="s">
        <v>693</v>
      </c>
      <c r="C49" s="649"/>
      <c r="D49" s="650"/>
    </row>
    <row r="50" spans="2:7" hidden="1" x14ac:dyDescent="0.35">
      <c r="B50" s="641" t="s">
        <v>1607</v>
      </c>
      <c r="D50" s="649"/>
      <c r="E50" s="650"/>
    </row>
    <row r="51" spans="2:7" hidden="1" x14ac:dyDescent="0.35">
      <c r="B51" s="641" t="s">
        <v>1608</v>
      </c>
      <c r="D51" s="649"/>
      <c r="E51" s="650"/>
    </row>
    <row r="52" spans="2:7" hidden="1" x14ac:dyDescent="0.35">
      <c r="B52" s="641" t="s">
        <v>1609</v>
      </c>
      <c r="D52" s="649"/>
      <c r="E52" s="650"/>
    </row>
    <row r="53" spans="2:7" hidden="1" x14ac:dyDescent="0.35">
      <c r="B53" s="608" t="s">
        <v>678</v>
      </c>
      <c r="D53" s="649"/>
      <c r="E53" s="650"/>
    </row>
    <row r="54" spans="2:7" hidden="1" x14ac:dyDescent="0.35">
      <c r="B54" s="608" t="s">
        <v>669</v>
      </c>
      <c r="D54" s="649"/>
      <c r="E54" s="650"/>
    </row>
    <row r="55" spans="2:7" hidden="1" x14ac:dyDescent="0.35">
      <c r="B55" s="608" t="s">
        <v>634</v>
      </c>
      <c r="D55" s="649"/>
      <c r="E55" s="650"/>
    </row>
    <row r="56" spans="2:7" hidden="1" x14ac:dyDescent="0.35">
      <c r="B56" s="608" t="s">
        <v>673</v>
      </c>
      <c r="D56" s="649"/>
      <c r="E56" s="650"/>
    </row>
    <row r="57" spans="2:7" hidden="1" x14ac:dyDescent="0.35">
      <c r="B57" s="608" t="s">
        <v>658</v>
      </c>
      <c r="D57" s="649"/>
      <c r="E57" s="650"/>
      <c r="G57" s="649"/>
    </row>
    <row r="58" spans="2:7" hidden="1" x14ac:dyDescent="0.35">
      <c r="B58" s="608" t="s">
        <v>635</v>
      </c>
      <c r="D58" s="649"/>
      <c r="E58" s="650"/>
    </row>
    <row r="59" spans="2:7" hidden="1" x14ac:dyDescent="0.35">
      <c r="B59" s="1233" t="s">
        <v>1498</v>
      </c>
      <c r="D59" s="649"/>
      <c r="E59" s="650"/>
    </row>
    <row r="60" spans="2:7" hidden="1" x14ac:dyDescent="0.35">
      <c r="B60" s="608" t="s">
        <v>652</v>
      </c>
      <c r="D60" s="649"/>
      <c r="E60" s="650"/>
      <c r="G60" s="649"/>
    </row>
    <row r="61" spans="2:7" hidden="1" x14ac:dyDescent="0.35">
      <c r="B61" s="641" t="s">
        <v>1610</v>
      </c>
      <c r="D61" s="649"/>
      <c r="E61" s="650"/>
    </row>
    <row r="62" spans="2:7" hidden="1" x14ac:dyDescent="0.35">
      <c r="B62" s="641" t="s">
        <v>1611</v>
      </c>
      <c r="D62" s="649"/>
      <c r="E62" s="650"/>
    </row>
    <row r="63" spans="2:7" hidden="1" x14ac:dyDescent="0.35">
      <c r="B63" s="641" t="s">
        <v>1612</v>
      </c>
      <c r="D63" s="649"/>
      <c r="E63" s="650"/>
    </row>
    <row r="64" spans="2:7" hidden="1" x14ac:dyDescent="0.35">
      <c r="B64" s="608" t="s">
        <v>681</v>
      </c>
      <c r="D64" s="649"/>
      <c r="E64" s="650"/>
    </row>
    <row r="65" spans="1:5" hidden="1" x14ac:dyDescent="0.35">
      <c r="B65" s="608" t="s">
        <v>1613</v>
      </c>
      <c r="D65" s="649"/>
      <c r="E65" s="650"/>
    </row>
    <row r="66" spans="1:5" hidden="1" x14ac:dyDescent="0.35">
      <c r="B66" s="608" t="s">
        <v>636</v>
      </c>
      <c r="D66" s="649"/>
      <c r="E66" s="650"/>
    </row>
    <row r="67" spans="1:5" hidden="1" x14ac:dyDescent="0.35">
      <c r="B67" s="608" t="s">
        <v>1614</v>
      </c>
      <c r="D67" s="649"/>
      <c r="E67" s="650"/>
    </row>
    <row r="68" spans="1:5" hidden="1" x14ac:dyDescent="0.35">
      <c r="B68" s="608" t="s">
        <v>665</v>
      </c>
    </row>
    <row r="70" spans="1:5" hidden="1" x14ac:dyDescent="0.35">
      <c r="B70" s="608" t="s">
        <v>1557</v>
      </c>
    </row>
    <row r="71" spans="1:5" hidden="1" x14ac:dyDescent="0.35">
      <c r="B71" s="608" t="s">
        <v>1615</v>
      </c>
    </row>
    <row r="72" spans="1:5" hidden="1" x14ac:dyDescent="0.35">
      <c r="B72" s="608" t="s">
        <v>1616</v>
      </c>
    </row>
    <row r="73" spans="1:5" hidden="1" x14ac:dyDescent="0.35">
      <c r="B73" s="608" t="s">
        <v>1617</v>
      </c>
    </row>
    <row r="77" spans="1:5" ht="15" hidden="1" thickBot="1" x14ac:dyDescent="0.4">
      <c r="B77" s="651"/>
      <c r="C77" s="651"/>
    </row>
    <row r="78" spans="1:5" ht="73" hidden="1" customHeight="1" thickTop="1" thickBot="1" x14ac:dyDescent="0.4">
      <c r="A78" s="652"/>
      <c r="B78" s="1754" t="e">
        <f>IF(I32=2,CONCATENATE(J29,H34,H36,H35),IF(I31=1,CONCATENATE(J31,H31),IF(I30=1,CONCATENATE(J30,H30),IF(OR(C31+C33=0,C30&lt;0,C32&lt;0)=TRUE,"",_xlfn.CONCAT("La combinazione di aiuti che hai selezionato prevede una copertura dell'investimento pari al"," ",ROUND(E34,2),"%; ","dovrai garantire la copertura dell'IVA",IF(F34&lt;=0,".",_xlfn.CONCAT(" e di ulteriori ",TEXT(F34,"€ #.##0,00"),".")))))))</f>
        <v>#VALUE!</v>
      </c>
      <c r="C78" s="1755"/>
      <c r="D78" s="653"/>
    </row>
    <row r="79" spans="1:5" ht="19" hidden="1" thickTop="1" x14ac:dyDescent="0.45">
      <c r="A79" s="1756" t="s">
        <v>1618</v>
      </c>
      <c r="B79" s="1756"/>
      <c r="C79" s="1756"/>
      <c r="D79" s="1756"/>
    </row>
    <row r="80" spans="1:5" ht="15" hidden="1" thickBot="1" x14ac:dyDescent="0.4">
      <c r="B80" s="1750"/>
      <c r="C80" s="1750"/>
      <c r="E80" s="654" t="s">
        <v>1619</v>
      </c>
    </row>
    <row r="81" spans="2:7" ht="15" hidden="1" thickBot="1" x14ac:dyDescent="0.4">
      <c r="B81" s="613" t="s">
        <v>1564</v>
      </c>
      <c r="C81" s="614" t="s">
        <v>1620</v>
      </c>
      <c r="D81" s="614" t="s">
        <v>1621</v>
      </c>
      <c r="E81" s="612" t="s">
        <v>1622</v>
      </c>
      <c r="F81" s="612" t="s">
        <v>1594</v>
      </c>
      <c r="G81" s="612" t="s">
        <v>1623</v>
      </c>
    </row>
    <row r="82" spans="2:7" hidden="1" x14ac:dyDescent="0.35">
      <c r="B82" s="616" t="s">
        <v>1624</v>
      </c>
      <c r="C82" s="655">
        <f ca="1">IFERROR(D12*(($E$34/100)-(D82/D12)),0)</f>
        <v>0</v>
      </c>
      <c r="D82" s="656">
        <v>0</v>
      </c>
      <c r="E82" s="632">
        <f t="shared" ref="E82:E87" ca="1" si="1">+IFERROR((C82+D82)/D12,0)</f>
        <v>0</v>
      </c>
      <c r="F82" s="632">
        <f ca="1">IFERROR(C82/D12,0)</f>
        <v>0</v>
      </c>
      <c r="G82" s="632">
        <f t="shared" ref="G82:G87" ca="1" si="2">IFERROR(D82/D12,0)</f>
        <v>0</v>
      </c>
    </row>
    <row r="83" spans="2:7" hidden="1" x14ac:dyDescent="0.35">
      <c r="B83" s="657" t="s">
        <v>578</v>
      </c>
      <c r="C83" s="658">
        <f>IFERROR(D13*(($E$34/100)-(D83/D13)),0)</f>
        <v>0</v>
      </c>
      <c r="D83" s="658">
        <f>IFERROR((D13/$C$23)*$C$33,0)</f>
        <v>0</v>
      </c>
      <c r="E83" s="632">
        <f t="shared" si="1"/>
        <v>0</v>
      </c>
      <c r="F83" s="632">
        <f t="shared" ref="F83:F88" si="3">IFERROR(C83/C13,0)</f>
        <v>0</v>
      </c>
      <c r="G83" s="632">
        <f t="shared" si="2"/>
        <v>0</v>
      </c>
    </row>
    <row r="84" spans="2:7" hidden="1" x14ac:dyDescent="0.35">
      <c r="B84" s="657" t="s">
        <v>1625</v>
      </c>
      <c r="C84" s="658">
        <f t="shared" ref="C84:C87" si="4">IFERROR(D14*(($E$34/100)-(D84/D14)),0)</f>
        <v>0</v>
      </c>
      <c r="D84" s="658">
        <f>IFERROR((D14/$C$23)*$C$33,0)</f>
        <v>0</v>
      </c>
      <c r="E84" s="632">
        <f t="shared" si="1"/>
        <v>0</v>
      </c>
      <c r="F84" s="632">
        <f t="shared" si="3"/>
        <v>0</v>
      </c>
      <c r="G84" s="632">
        <f t="shared" si="2"/>
        <v>0</v>
      </c>
    </row>
    <row r="85" spans="2:7" hidden="1" x14ac:dyDescent="0.35">
      <c r="B85" s="657" t="s">
        <v>592</v>
      </c>
      <c r="C85" s="658">
        <f t="shared" si="4"/>
        <v>0</v>
      </c>
      <c r="D85" s="658">
        <f>IFERROR((D15/$C$23)*$C$33,0)</f>
        <v>0</v>
      </c>
      <c r="E85" s="632">
        <f t="shared" si="1"/>
        <v>0</v>
      </c>
      <c r="F85" s="632">
        <f t="shared" si="3"/>
        <v>0</v>
      </c>
      <c r="G85" s="632">
        <f t="shared" si="2"/>
        <v>0</v>
      </c>
    </row>
    <row r="86" spans="2:7" hidden="1" x14ac:dyDescent="0.35">
      <c r="B86" s="619" t="s">
        <v>593</v>
      </c>
      <c r="C86" s="658">
        <f t="shared" ca="1" si="4"/>
        <v>0</v>
      </c>
      <c r="D86" s="659">
        <v>0</v>
      </c>
      <c r="E86" s="632">
        <f t="shared" ca="1" si="1"/>
        <v>0</v>
      </c>
      <c r="F86" s="632">
        <f t="shared" ca="1" si="3"/>
        <v>0</v>
      </c>
      <c r="G86" s="632">
        <f t="shared" ca="1" si="2"/>
        <v>0</v>
      </c>
    </row>
    <row r="87" spans="2:7" hidden="1" x14ac:dyDescent="0.35">
      <c r="B87" s="619" t="s">
        <v>1626</v>
      </c>
      <c r="C87" s="660">
        <f t="shared" ca="1" si="4"/>
        <v>0</v>
      </c>
      <c r="D87" s="661">
        <v>0</v>
      </c>
      <c r="E87" s="632">
        <f t="shared" ca="1" si="1"/>
        <v>0</v>
      </c>
      <c r="F87" s="632">
        <f t="shared" ca="1" si="3"/>
        <v>0</v>
      </c>
      <c r="G87" s="632">
        <f t="shared" ca="1" si="2"/>
        <v>0</v>
      </c>
    </row>
    <row r="88" spans="2:7" ht="15" hidden="1" thickBot="1" x14ac:dyDescent="0.4">
      <c r="B88" s="619" t="s">
        <v>1627</v>
      </c>
      <c r="C88" s="662">
        <f ca="1">IFERROR(D21*(($E$34/100)-(D88/D21)),0)</f>
        <v>0</v>
      </c>
      <c r="D88" s="663">
        <v>0</v>
      </c>
      <c r="E88" s="632">
        <f ca="1">+IFERROR((C88+D88)/D21,0)</f>
        <v>0</v>
      </c>
      <c r="F88" s="632">
        <f t="shared" ca="1" si="3"/>
        <v>0</v>
      </c>
      <c r="G88" s="632">
        <f ca="1">IFERROR(D88/D21,0)</f>
        <v>0</v>
      </c>
    </row>
    <row r="89" spans="2:7" ht="15" hidden="1" thickTop="1" x14ac:dyDescent="0.35">
      <c r="B89" s="625" t="s">
        <v>1570</v>
      </c>
      <c r="C89" s="626">
        <f ca="1">SUM(C82:C88)</f>
        <v>0</v>
      </c>
      <c r="D89" s="626">
        <f>SUM(D82:D87)</f>
        <v>0</v>
      </c>
    </row>
    <row r="91" spans="2:7" hidden="1" x14ac:dyDescent="0.35">
      <c r="F91" s="664"/>
    </row>
    <row r="92" spans="2:7" hidden="1" x14ac:dyDescent="0.35">
      <c r="F92" s="664"/>
    </row>
    <row r="96" spans="2:7" ht="15" hidden="1" thickBot="1" x14ac:dyDescent="0.4"/>
    <row r="97" spans="2:5" ht="15" hidden="1" thickBot="1" x14ac:dyDescent="0.4">
      <c r="B97" s="613" t="s">
        <v>1564</v>
      </c>
      <c r="C97" s="614" t="s">
        <v>1628</v>
      </c>
      <c r="D97" s="614" t="s">
        <v>1629</v>
      </c>
      <c r="E97" s="614" t="s">
        <v>1630</v>
      </c>
    </row>
    <row r="98" spans="2:5" hidden="1" x14ac:dyDescent="0.35">
      <c r="B98" s="616" t="s">
        <v>1624</v>
      </c>
      <c r="C98" s="665">
        <v>100000</v>
      </c>
      <c r="D98" s="620">
        <f ca="1">$C$98*F82</f>
        <v>0</v>
      </c>
      <c r="E98" s="620">
        <f ca="1">$C$98*G82</f>
        <v>0</v>
      </c>
    </row>
    <row r="99" spans="2:5" hidden="1" x14ac:dyDescent="0.35">
      <c r="B99" s="657" t="s">
        <v>578</v>
      </c>
      <c r="C99" s="666"/>
      <c r="D99" s="620">
        <f>C99*F83</f>
        <v>0</v>
      </c>
      <c r="E99" s="620">
        <f>$C$99*G83</f>
        <v>0</v>
      </c>
    </row>
    <row r="100" spans="2:5" hidden="1" x14ac:dyDescent="0.35">
      <c r="B100" s="657" t="s">
        <v>1625</v>
      </c>
      <c r="C100" s="666">
        <v>300000</v>
      </c>
      <c r="D100" s="620">
        <f>C100*F84</f>
        <v>0</v>
      </c>
      <c r="E100" s="620">
        <f>C100*G84</f>
        <v>0</v>
      </c>
    </row>
    <row r="101" spans="2:5" hidden="1" x14ac:dyDescent="0.35">
      <c r="B101" s="657" t="s">
        <v>592</v>
      </c>
      <c r="C101" s="666"/>
      <c r="D101" s="620">
        <f>C101*F85</f>
        <v>0</v>
      </c>
      <c r="E101" s="620">
        <f>C101*G85</f>
        <v>0</v>
      </c>
    </row>
    <row r="102" spans="2:5" hidden="1" x14ac:dyDescent="0.35">
      <c r="B102" s="619" t="s">
        <v>593</v>
      </c>
      <c r="C102" s="666"/>
      <c r="D102" s="620">
        <f ca="1">C102*F86</f>
        <v>0</v>
      </c>
      <c r="E102" s="620">
        <f ca="1">C102*G86</f>
        <v>0</v>
      </c>
    </row>
    <row r="103" spans="2:5" ht="29.5" hidden="1" thickBot="1" x14ac:dyDescent="0.4">
      <c r="B103" s="621" t="s">
        <v>1626</v>
      </c>
      <c r="C103" s="666"/>
      <c r="D103" s="620">
        <f ca="1">C103*F87</f>
        <v>0</v>
      </c>
      <c r="E103" s="620">
        <f ca="1">C103*G87</f>
        <v>0</v>
      </c>
    </row>
    <row r="104" spans="2:5" ht="15" hidden="1" thickBot="1" x14ac:dyDescent="0.4">
      <c r="B104" s="619" t="s">
        <v>1627</v>
      </c>
      <c r="C104" s="667"/>
      <c r="D104" s="622">
        <f ca="1">$C$104*F87</f>
        <v>0</v>
      </c>
      <c r="E104" s="622">
        <f ca="1">$C$104*G87</f>
        <v>0</v>
      </c>
    </row>
    <row r="105" spans="2:5" ht="15" hidden="1" thickTop="1" x14ac:dyDescent="0.35">
      <c r="B105" s="625" t="s">
        <v>1570</v>
      </c>
      <c r="C105" s="626">
        <f>SUM(C98:C104)</f>
        <v>400000</v>
      </c>
      <c r="D105" s="626">
        <f ca="1">SUM(D98:D104)</f>
        <v>0</v>
      </c>
      <c r="E105" s="626">
        <f ca="1">SUM(E98:E104)</f>
        <v>0</v>
      </c>
    </row>
  </sheetData>
  <protectedRanges>
    <protectedRange sqref="B10" name="INNOVAZIONE_1"/>
    <protectedRange sqref="B5:D5" name="SEDE_1"/>
    <protectedRange sqref="C84:C88 D84:D87 C82:D83 C98:E104 C12:C17" name="INVESTIMENTO_1"/>
    <protectedRange sqref="C21" name="GESTIONE_1"/>
    <protectedRange sqref="C31" name="MUTUO_1"/>
    <protectedRange sqref="C33" name="FONDO PERDUTO_1"/>
  </protectedRanges>
  <mergeCells count="7">
    <mergeCell ref="B6:D7"/>
    <mergeCell ref="B8:D8"/>
    <mergeCell ref="B80:C80"/>
    <mergeCell ref="B20:B21"/>
    <mergeCell ref="B36:C36"/>
    <mergeCell ref="B78:C78"/>
    <mergeCell ref="A79:D79"/>
  </mergeCells>
  <dataValidations disablePrompts="1" count="4">
    <dataValidation type="list" allowBlank="1" showInputMessage="1" showErrorMessage="1" sqref="B10:D10" xr:uid="{6722C60E-A21A-4D07-A438-C166B8788130}">
      <formula1>"SI,NO"</formula1>
    </dataValidation>
    <dataValidation type="list" allowBlank="1" showInputMessage="1" showErrorMessage="1" sqref="D5" xr:uid="{63B37BBA-3BF1-48E1-8579-113D3BC4A8CD}">
      <formula1>INDIRECT(SUBSTITUTE($C$5," ","_"))</formula1>
    </dataValidation>
    <dataValidation type="list" allowBlank="1" showInputMessage="1" showErrorMessage="1" sqref="C5" xr:uid="{74F61788-28AE-4025-8573-6046034933F6}">
      <formula1>INDIRECT(SUBSTITUTE(SUBSTITUTE($B$5," ","_"),"'","_"))</formula1>
    </dataValidation>
    <dataValidation type="list" allowBlank="1" showInputMessage="1" showErrorMessage="1" sqref="B5" xr:uid="{FF852270-2357-4485-AEFF-672E8C812461}">
      <formula1>Regione_2</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VaiDettaglioInvestimentoCapoII">
                <anchor moveWithCells="1" sizeWithCells="1">
                  <from>
                    <xdr:col>0</xdr:col>
                    <xdr:colOff>260350</xdr:colOff>
                    <xdr:row>12</xdr:row>
                    <xdr:rowOff>107950</xdr:rowOff>
                  </from>
                  <to>
                    <xdr:col>0</xdr:col>
                    <xdr:colOff>2628900</xdr:colOff>
                    <xdr:row>14</xdr:row>
                    <xdr:rowOff>69850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97482-9E6F-4A9E-862D-64F89025300E}">
  <sheetPr codeName="Foglio46"/>
  <dimension ref="A1:XFC54"/>
  <sheetViews>
    <sheetView showGridLines="0" showRowColHeaders="0" tabSelected="1" workbookViewId="0">
      <selection activeCell="B5" sqref="B5"/>
    </sheetView>
  </sheetViews>
  <sheetFormatPr defaultColWidth="0" defaultRowHeight="14.5" zeroHeight="1" x14ac:dyDescent="0.35"/>
  <cols>
    <col min="1" max="1" width="48.453125" customWidth="1"/>
    <col min="2" max="2" width="43.453125" bestFit="1" customWidth="1"/>
    <col min="3" max="3" width="30" bestFit="1" customWidth="1"/>
    <col min="4" max="4" width="35.1796875" customWidth="1"/>
    <col min="5" max="5" width="8.7265625" hidden="1"/>
    <col min="6" max="6" width="17.81640625" hidden="1"/>
    <col min="7" max="16383" width="8.7265625" hidden="1"/>
    <col min="16384" max="16384" width="0.1796875" customWidth="1"/>
  </cols>
  <sheetData>
    <row r="1" spans="1:9" ht="15" thickBot="1" x14ac:dyDescent="0.4">
      <c r="A1" s="1335"/>
      <c r="B1" s="1335"/>
      <c r="C1" s="1335"/>
      <c r="D1" s="1335"/>
      <c r="E1" s="989"/>
    </row>
    <row r="2" spans="1:9" ht="68.5" customHeight="1" thickBot="1" x14ac:dyDescent="0.4">
      <c r="A2" s="1348" t="s">
        <v>1550</v>
      </c>
      <c r="B2" s="1335"/>
      <c r="C2" s="1335"/>
      <c r="D2" s="1335"/>
      <c r="E2" s="989"/>
    </row>
    <row r="3" spans="1:9" ht="73" customHeight="1" thickBot="1" x14ac:dyDescent="0.4">
      <c r="A3" s="1355" t="s">
        <v>1631</v>
      </c>
      <c r="B3" s="1335"/>
      <c r="C3" s="1335"/>
      <c r="D3" s="1335"/>
      <c r="E3" s="989"/>
    </row>
    <row r="4" spans="1:9" ht="31" customHeight="1" thickTop="1" thickBot="1" x14ac:dyDescent="0.4">
      <c r="A4" s="1335"/>
      <c r="B4" s="609" t="s">
        <v>1553</v>
      </c>
      <c r="C4" s="609" t="s">
        <v>1554</v>
      </c>
      <c r="D4" s="609" t="s">
        <v>1555</v>
      </c>
      <c r="E4" s="989"/>
      <c r="I4" s="590" t="s">
        <v>1632</v>
      </c>
    </row>
    <row r="5" spans="1:9" ht="25" customHeight="1" thickTop="1" thickBot="1" x14ac:dyDescent="0.4">
      <c r="A5" s="989"/>
      <c r="B5" s="1574"/>
      <c r="C5" s="1574"/>
      <c r="D5" s="1574"/>
      <c r="E5" s="989"/>
      <c r="I5" s="590" t="str">
        <f>+IFERROR(IF(C5="Altro","FALSO",IF(+MATCH(D5,Comuni_107_3_C!$CZ$2:$CZ$45,0)&lt;&gt;0,"VERO", "FALSO")),"FALSO")</f>
        <v>FALSO</v>
      </c>
    </row>
    <row r="6" spans="1:9" ht="56.5" customHeight="1" thickTop="1" thickBot="1" x14ac:dyDescent="0.4">
      <c r="A6" s="989"/>
      <c r="B6" s="1757" t="str">
        <f>+IF(OR(C5="Altro",D5="Altro"),"La tua iniziativa non è localizzata nei territori previsti dall'Ordinanza n. 25 del 30 giugno 2022"," ")</f>
        <v xml:space="preserve"> </v>
      </c>
      <c r="C6" s="1758"/>
      <c r="D6" s="1759"/>
      <c r="E6" s="989"/>
    </row>
    <row r="7" spans="1:9" ht="25" customHeight="1" thickTop="1" thickBot="1" x14ac:dyDescent="0.4">
      <c r="A7" s="989"/>
      <c r="B7" s="1488" t="s">
        <v>1633</v>
      </c>
      <c r="C7" s="1765" t="s">
        <v>1634</v>
      </c>
      <c r="D7" s="1766"/>
      <c r="E7" s="989"/>
      <c r="I7" s="590" t="s">
        <v>1635</v>
      </c>
    </row>
    <row r="8" spans="1:9" ht="38.15" customHeight="1" thickTop="1" thickBot="1" x14ac:dyDescent="0.4">
      <c r="B8" s="1575"/>
      <c r="C8" s="1767"/>
      <c r="D8" s="1768"/>
      <c r="E8" s="989"/>
      <c r="I8" s="590" t="str">
        <f>+IF(OR(C5="Altro",D5="Altro",SUMIF(Comuni_107_3_C!$BT$2:$BT$185,D5,Comuni_107_3_C!$BX$2:$BX$185)=0),"FALSO","VERO")</f>
        <v>FALSO</v>
      </c>
    </row>
    <row r="9" spans="1:9" ht="15" thickTop="1" x14ac:dyDescent="0.35">
      <c r="A9" s="1356"/>
      <c r="B9" s="989"/>
      <c r="C9" s="989"/>
      <c r="D9" s="989"/>
      <c r="E9" s="989"/>
    </row>
    <row r="10" spans="1:9" x14ac:dyDescent="0.35">
      <c r="A10" s="989"/>
      <c r="B10" s="989"/>
      <c r="C10" s="989"/>
      <c r="D10" s="989"/>
      <c r="E10" s="989"/>
    </row>
    <row r="11" spans="1:9" ht="15" thickBot="1" x14ac:dyDescent="0.4">
      <c r="A11" s="989"/>
      <c r="B11" s="989"/>
      <c r="C11" s="989"/>
      <c r="D11" s="989"/>
      <c r="E11" s="989"/>
    </row>
    <row r="12" spans="1:9" ht="35.25" customHeight="1" thickTop="1" thickBot="1" x14ac:dyDescent="0.4">
      <c r="A12" s="989"/>
      <c r="B12" s="1760" t="s">
        <v>2347</v>
      </c>
      <c r="C12" s="1761"/>
      <c r="D12" s="989"/>
      <c r="E12" s="989"/>
    </row>
    <row r="13" spans="1:9" ht="19.5" thickTop="1" thickBot="1" x14ac:dyDescent="0.5">
      <c r="A13" s="989"/>
      <c r="B13" s="1345" t="s">
        <v>1636</v>
      </c>
      <c r="C13" s="1576" t="s">
        <v>1563</v>
      </c>
      <c r="D13" s="989"/>
      <c r="E13" s="989"/>
      <c r="F13" s="1332" t="s">
        <v>1637</v>
      </c>
    </row>
    <row r="14" spans="1:9" ht="15.5" thickTop="1" thickBot="1" x14ac:dyDescent="0.4">
      <c r="A14" s="989"/>
      <c r="B14" s="1346" t="s">
        <v>1638</v>
      </c>
      <c r="C14" s="1576" t="s">
        <v>1563</v>
      </c>
      <c r="D14" s="989"/>
      <c r="E14" s="989"/>
    </row>
    <row r="15" spans="1:9" ht="27" thickTop="1" thickBot="1" x14ac:dyDescent="0.4">
      <c r="A15" s="989"/>
      <c r="B15" s="1346" t="s">
        <v>1639</v>
      </c>
      <c r="C15" s="1576" t="s">
        <v>1563</v>
      </c>
      <c r="D15" s="989"/>
      <c r="E15" s="989"/>
    </row>
    <row r="16" spans="1:9" ht="40" thickTop="1" thickBot="1" x14ac:dyDescent="0.4">
      <c r="A16" s="1399"/>
      <c r="B16" s="1346" t="s">
        <v>1640</v>
      </c>
      <c r="C16" s="1576" t="s">
        <v>1563</v>
      </c>
      <c r="D16" s="989"/>
      <c r="E16" s="989"/>
    </row>
    <row r="17" spans="1:6" ht="15" thickTop="1" x14ac:dyDescent="0.35">
      <c r="A17" s="989"/>
      <c r="B17" s="989"/>
      <c r="C17" s="989"/>
      <c r="D17" s="989"/>
      <c r="E17" s="989"/>
    </row>
    <row r="18" spans="1:6" x14ac:dyDescent="0.35">
      <c r="A18" s="989"/>
      <c r="B18" s="989"/>
      <c r="C18" s="989"/>
      <c r="D18" s="989"/>
      <c r="E18" s="989"/>
    </row>
    <row r="19" spans="1:6" x14ac:dyDescent="0.35">
      <c r="A19" s="989"/>
      <c r="B19" s="989"/>
      <c r="C19" s="989"/>
      <c r="D19" s="989"/>
      <c r="E19" s="989"/>
    </row>
    <row r="20" spans="1:6" x14ac:dyDescent="0.35">
      <c r="A20" s="989"/>
      <c r="B20" s="1769"/>
      <c r="C20" s="1769"/>
      <c r="D20" s="1769"/>
      <c r="E20" s="989"/>
    </row>
    <row r="21" spans="1:6" ht="15" thickBot="1" x14ac:dyDescent="0.4">
      <c r="A21" s="989"/>
      <c r="E21" s="989"/>
    </row>
    <row r="22" spans="1:6" ht="30" thickTop="1" thickBot="1" x14ac:dyDescent="0.4">
      <c r="A22" s="989"/>
      <c r="B22" s="1388" t="s">
        <v>1564</v>
      </c>
      <c r="C22" s="1389" t="s">
        <v>2346</v>
      </c>
      <c r="D22" s="1388" t="s">
        <v>2345</v>
      </c>
      <c r="E22" s="989"/>
    </row>
    <row r="23" spans="1:6" ht="15" thickTop="1" x14ac:dyDescent="0.35">
      <c r="A23" s="989"/>
      <c r="B23" s="1383" t="s">
        <v>579</v>
      </c>
      <c r="C23" s="1620">
        <f>+SUMIF('Dettaglio Investimento'!E:E,B23,'Dettaglio Investimento'!F:F)</f>
        <v>0</v>
      </c>
      <c r="D23" s="1387">
        <f>IF(OR(C28&lt;F29,C28&gt;F30),0,+' Ucraina'!F13)</f>
        <v>0</v>
      </c>
      <c r="E23" s="989"/>
    </row>
    <row r="24" spans="1:6" x14ac:dyDescent="0.35">
      <c r="A24" s="989"/>
      <c r="B24" s="1384" t="s">
        <v>578</v>
      </c>
      <c r="C24" s="1621">
        <f>+SUMIF('Dettaglio Investimento'!E:E,B24,'Dettaglio Investimento'!F:F)</f>
        <v>0</v>
      </c>
      <c r="D24" s="1385">
        <f>IF(OR(C28&lt;F29,C28&gt;F30),0,+' Ucraina'!F14)</f>
        <v>0</v>
      </c>
      <c r="E24" s="989"/>
    </row>
    <row r="25" spans="1:6" ht="29" x14ac:dyDescent="0.35">
      <c r="A25" s="989"/>
      <c r="B25" s="1386" t="s">
        <v>585</v>
      </c>
      <c r="C25" s="1621">
        <f>+SUMIF('Dettaglio Investimento'!E:E,B25,'Dettaglio Investimento'!F:F)</f>
        <v>0</v>
      </c>
      <c r="D25" s="1385">
        <f>IF(OR(C28&lt;F29,C28&gt;F30),0,+' Ucraina'!F15)</f>
        <v>0</v>
      </c>
      <c r="E25" s="989"/>
    </row>
    <row r="26" spans="1:6" x14ac:dyDescent="0.35">
      <c r="A26" s="989"/>
      <c r="B26" s="1384" t="s">
        <v>592</v>
      </c>
      <c r="C26" s="1621">
        <f>+SUMIF('Dettaglio Investimento'!E:E,B26,'Dettaglio Investimento'!F:F)</f>
        <v>0</v>
      </c>
      <c r="D26" s="1385">
        <f>IF(OR(C28&lt;F29,C28&gt;F30),0,+' Ucraina'!F16)</f>
        <v>0</v>
      </c>
      <c r="E26" s="989"/>
    </row>
    <row r="27" spans="1:6" ht="15" thickBot="1" x14ac:dyDescent="0.4">
      <c r="A27" s="989"/>
      <c r="B27" s="1390" t="s">
        <v>597</v>
      </c>
      <c r="C27" s="1621">
        <f>+SUMIF('Dettaglio Investimento'!E:E,B27,'Dettaglio Investimento'!F:F)</f>
        <v>0</v>
      </c>
      <c r="D27" s="1391">
        <f>IF(OR(C28&lt;F29,C28&gt;F30),0,+' Ucraina'!F17)</f>
        <v>0</v>
      </c>
      <c r="E27" s="989"/>
    </row>
    <row r="28" spans="1:6" ht="15.5" thickTop="1" thickBot="1" x14ac:dyDescent="0.4">
      <c r="A28" s="989"/>
      <c r="B28" s="1486" t="s">
        <v>1570</v>
      </c>
      <c r="C28" s="1487">
        <f>SUM(C23:C27)</f>
        <v>0</v>
      </c>
      <c r="D28" s="1487">
        <f>SUM(D23:D27)</f>
        <v>0</v>
      </c>
      <c r="E28" s="989"/>
    </row>
    <row r="29" spans="1:6" ht="15" thickTop="1" x14ac:dyDescent="0.35">
      <c r="A29" s="1400"/>
      <c r="B29" s="1772" t="str">
        <f>IF(OR(D28&lt;F29,D28&gt;F30),"Ai fini dell'ammissibilità alle agevolazioni, il progetto deve prevedere spese ammissibili non inferiori a 400.000,00 euro e fino ad un massimo di 2,5 milioni di euro","")</f>
        <v>Ai fini dell'ammissibilità alle agevolazioni, il progetto deve prevedere spese ammissibili non inferiori a 400.000,00 euro e fino ad un massimo di 2,5 milioni di euro</v>
      </c>
      <c r="C29" s="1773"/>
      <c r="D29" s="1774"/>
      <c r="E29" s="989"/>
      <c r="F29" s="779">
        <v>400000</v>
      </c>
    </row>
    <row r="30" spans="1:6" ht="26.15" customHeight="1" thickBot="1" x14ac:dyDescent="0.4">
      <c r="A30" s="989"/>
      <c r="B30" s="1775"/>
      <c r="C30" s="1776"/>
      <c r="D30" s="1777"/>
      <c r="E30" s="989"/>
      <c r="F30" s="779">
        <v>2500000</v>
      </c>
    </row>
    <row r="31" spans="1:6" ht="15" thickTop="1" x14ac:dyDescent="0.35">
      <c r="A31" s="989"/>
      <c r="B31" s="989"/>
      <c r="C31" s="989"/>
      <c r="D31" s="989"/>
      <c r="E31" s="989"/>
    </row>
    <row r="32" spans="1:6" x14ac:dyDescent="0.35">
      <c r="B32" s="989"/>
      <c r="C32" s="989"/>
      <c r="D32" s="989"/>
      <c r="E32" s="989"/>
    </row>
    <row r="33" spans="1:5" ht="15" thickBot="1" x14ac:dyDescent="0.4">
      <c r="A33" s="989"/>
      <c r="B33" s="989"/>
      <c r="C33" s="989"/>
      <c r="D33" s="989"/>
      <c r="E33" s="989"/>
    </row>
    <row r="34" spans="1:5" ht="45" customHeight="1" thickTop="1" thickBot="1" x14ac:dyDescent="0.4">
      <c r="A34" s="989"/>
      <c r="B34" s="1770" t="s">
        <v>1641</v>
      </c>
      <c r="C34" s="1771"/>
      <c r="D34" s="989"/>
      <c r="E34" s="989"/>
    </row>
    <row r="35" spans="1:5" ht="56.5" customHeight="1" thickTop="1" thickBot="1" x14ac:dyDescent="0.4">
      <c r="A35" s="989"/>
      <c r="B35" s="1334"/>
      <c r="C35" s="1334"/>
      <c r="D35" s="989"/>
      <c r="E35" s="989"/>
    </row>
    <row r="36" spans="1:5" ht="15" thickTop="1" x14ac:dyDescent="0.35">
      <c r="A36" s="989"/>
      <c r="B36" s="989"/>
      <c r="C36" s="989"/>
      <c r="D36" s="989"/>
      <c r="E36" s="989"/>
    </row>
    <row r="37" spans="1:5" x14ac:dyDescent="0.35">
      <c r="A37" s="989"/>
      <c r="B37" s="989"/>
      <c r="C37" s="989"/>
      <c r="D37" s="989"/>
      <c r="E37" s="989"/>
    </row>
    <row r="38" spans="1:5" x14ac:dyDescent="0.35">
      <c r="A38" s="989"/>
      <c r="B38" s="989"/>
      <c r="C38" s="989"/>
      <c r="D38" s="989"/>
      <c r="E38" s="989"/>
    </row>
    <row r="39" spans="1:5" ht="15" thickBot="1" x14ac:dyDescent="0.4">
      <c r="A39" s="989"/>
      <c r="B39" s="1335"/>
      <c r="C39" s="1335"/>
      <c r="D39" s="989"/>
      <c r="E39" s="989"/>
    </row>
    <row r="40" spans="1:5" ht="28" customHeight="1" thickTop="1" thickBot="1" x14ac:dyDescent="0.4">
      <c r="A40" s="989"/>
      <c r="B40" s="608"/>
      <c r="C40" s="1366" t="s">
        <v>1577</v>
      </c>
      <c r="D40" s="989"/>
      <c r="E40" s="989"/>
    </row>
    <row r="41" spans="1:5" ht="28" customHeight="1" thickTop="1" x14ac:dyDescent="0.35">
      <c r="A41" s="989"/>
      <c r="B41" s="1401" t="s">
        <v>1587</v>
      </c>
      <c r="C41" s="1489">
        <f>IF(GBER!$C$38+GBER!$C$40=0,0,GBER!$C$38)</f>
        <v>0</v>
      </c>
      <c r="D41" s="989"/>
      <c r="E41" s="989"/>
    </row>
    <row r="42" spans="1:5" ht="28" customHeight="1" thickBot="1" x14ac:dyDescent="0.4">
      <c r="B42" s="1402" t="s">
        <v>1591</v>
      </c>
      <c r="C42" s="1490">
        <f>IF(GBER!$C$38+GBER!$C$40=0,' Ucraina'!E66,GBER!$C$40)</f>
        <v>0</v>
      </c>
      <c r="D42" s="989"/>
      <c r="E42" s="989"/>
    </row>
    <row r="43" spans="1:5" ht="28" customHeight="1" thickTop="1" thickBot="1" x14ac:dyDescent="0.4">
      <c r="A43" s="989"/>
      <c r="B43" s="1393" t="s">
        <v>1592</v>
      </c>
      <c r="C43" s="1394">
        <f>+C42+C41</f>
        <v>0</v>
      </c>
      <c r="D43" s="989"/>
      <c r="E43" s="989"/>
    </row>
    <row r="44" spans="1:5" ht="15.5" thickTop="1" thickBot="1" x14ac:dyDescent="0.4">
      <c r="A44" s="989"/>
      <c r="B44" s="989"/>
      <c r="C44" s="989"/>
      <c r="D44" s="989"/>
      <c r="E44" s="989"/>
    </row>
    <row r="45" spans="1:5" ht="220" customHeight="1" thickBot="1" x14ac:dyDescent="0.4">
      <c r="A45" s="989"/>
      <c r="B45" s="1763" t="str">
        <f ca="1">_xlfn.CONCAT("Qualora fossero compilate più combinazioni di aiuto, saranno riportati i valori richiesti nel foglio ""GBER ''. ",IF(GBER!$C$41&lt;&gt;0,GBER!$B$47,' Ucraina'!D69:F70))</f>
        <v xml:space="preserve">Qualora fossero compilate più combinazioni di aiuto, saranno riportati i valori richiesti nel foglio "GBER ''. </v>
      </c>
      <c r="C45" s="1764"/>
      <c r="D45" s="989"/>
      <c r="E45" s="989"/>
    </row>
    <row r="46" spans="1:5" ht="7" customHeight="1" x14ac:dyDescent="0.35">
      <c r="A46" s="989"/>
      <c r="B46" s="989"/>
      <c r="C46" s="989"/>
      <c r="D46" s="989"/>
      <c r="E46" s="989"/>
    </row>
    <row r="47" spans="1:5" ht="6" customHeight="1" x14ac:dyDescent="0.35">
      <c r="A47" s="989"/>
      <c r="B47" s="989"/>
      <c r="C47" s="989"/>
      <c r="D47" s="989"/>
      <c r="E47" s="989"/>
    </row>
    <row r="48" spans="1:5" ht="2.5" customHeight="1" x14ac:dyDescent="0.35">
      <c r="A48" s="989"/>
      <c r="B48" s="989"/>
      <c r="C48" s="989"/>
      <c r="D48" s="989"/>
      <c r="E48" s="989"/>
    </row>
    <row r="49" spans="1:5" ht="77.5" customHeight="1" x14ac:dyDescent="0.35">
      <c r="A49" s="1762" t="s">
        <v>1642</v>
      </c>
      <c r="B49" s="1762"/>
      <c r="C49" s="1762"/>
      <c r="D49" s="1762"/>
      <c r="E49" s="989"/>
    </row>
    <row r="50" spans="1:5" x14ac:dyDescent="0.35">
      <c r="A50" s="989"/>
      <c r="B50" s="989"/>
      <c r="C50" s="989"/>
      <c r="D50" s="989"/>
      <c r="E50" s="989"/>
    </row>
    <row r="51" spans="1:5" hidden="1" x14ac:dyDescent="0.35">
      <c r="A51" s="989"/>
      <c r="B51" s="989"/>
      <c r="C51" s="989"/>
      <c r="D51" s="989"/>
      <c r="E51" s="989"/>
    </row>
    <row r="52" spans="1:5" hidden="1" x14ac:dyDescent="0.35">
      <c r="A52" s="989"/>
      <c r="B52" s="989"/>
      <c r="C52" s="989"/>
      <c r="D52" s="989"/>
      <c r="E52" s="989"/>
    </row>
    <row r="53" spans="1:5" hidden="1" x14ac:dyDescent="0.35">
      <c r="A53" s="989"/>
      <c r="B53" s="989"/>
      <c r="C53" s="989"/>
      <c r="D53" s="989"/>
      <c r="E53" s="989"/>
    </row>
    <row r="54" spans="1:5" hidden="1" x14ac:dyDescent="0.35">
      <c r="A54" s="989"/>
      <c r="B54" s="989"/>
      <c r="C54" s="989"/>
      <c r="D54" s="989"/>
      <c r="E54" s="989"/>
    </row>
  </sheetData>
  <sheetProtection algorithmName="SHA-512" hashValue="1K3+gg/8Nu2pEuJRh58hx7mvFkcmiGx51BGPqk7vbiVbw8hYyPCV2/sFxnkQQvYt6gz8H8J+gPYkbaXy/htPgA==" saltValue="gS1by7dbcA/wwmYtXk/Nqw==" spinCount="100000" sheet="1" selectLockedCells="1"/>
  <mergeCells count="8">
    <mergeCell ref="B6:D6"/>
    <mergeCell ref="B12:C12"/>
    <mergeCell ref="A49:D49"/>
    <mergeCell ref="B45:C45"/>
    <mergeCell ref="C7:D8"/>
    <mergeCell ref="B20:D20"/>
    <mergeCell ref="B34:C34"/>
    <mergeCell ref="B29:D30"/>
  </mergeCells>
  <dataValidations count="5">
    <dataValidation type="list" allowBlank="1" showInputMessage="1" showErrorMessage="1" sqref="B5" xr:uid="{3EE41AC2-F3B1-4A73-8681-2EFF352699FA}">
      <formula1>Regione_2</formula1>
    </dataValidation>
    <dataValidation type="list" allowBlank="1" showInputMessage="1" showErrorMessage="1" sqref="C5" xr:uid="{FDE24272-B6F3-4B48-AEA6-603749CB2491}">
      <formula1>INDIRECT(SUBSTITUTE(SUBSTITUTE($B$5," ","_"),"'","_"))</formula1>
    </dataValidation>
    <dataValidation type="list" allowBlank="1" showInputMessage="1" showErrorMessage="1" sqref="D5" xr:uid="{2FE633B5-7EFC-414C-A6DB-370FE7B5D798}">
      <formula1>INDIRECT(SUBSTITUTE(SUBSTITUTE($C$5," ","_"),"'","_"))</formula1>
    </dataValidation>
    <dataValidation type="list" allowBlank="1" showInputMessage="1" showErrorMessage="1" sqref="B8" xr:uid="{8B68140F-A40F-4C15-AD5F-31A2AD585676}">
      <formula1>"Micro,Piccola,Media"</formula1>
    </dataValidation>
    <dataValidation type="list" allowBlank="1" showInputMessage="1" showErrorMessage="1" sqref="C13:C15 B14 B16:C16" xr:uid="{69689FD8-1899-441D-9EAD-0414EEBB0468}">
      <formula1>"SI,NO"</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84" r:id="rId4" name="Button 4">
              <controlPr defaultSize="0" print="0" autoFill="0" autoPict="0" macro="[0]!Vai">
                <anchor moveWithCells="1" sizeWithCells="1">
                  <from>
                    <xdr:col>1</xdr:col>
                    <xdr:colOff>31750</xdr:colOff>
                    <xdr:row>34</xdr:row>
                    <xdr:rowOff>31750</xdr:rowOff>
                  </from>
                  <to>
                    <xdr:col>1</xdr:col>
                    <xdr:colOff>3003550</xdr:colOff>
                    <xdr:row>34</xdr:row>
                    <xdr:rowOff>717550</xdr:rowOff>
                  </to>
                </anchor>
              </controlPr>
            </control>
          </mc:Choice>
        </mc:AlternateContent>
        <mc:AlternateContent xmlns:mc="http://schemas.openxmlformats.org/markup-compatibility/2006">
          <mc:Choice Requires="x14">
            <control shapeId="20485" r:id="rId5" name="Button 5">
              <controlPr defaultSize="0" print="0" autoFill="0" autoPict="0" macro="[0]!VaiGBER">
                <anchor moveWithCells="1" sizeWithCells="1">
                  <from>
                    <xdr:col>2</xdr:col>
                    <xdr:colOff>19050</xdr:colOff>
                    <xdr:row>34</xdr:row>
                    <xdr:rowOff>19050</xdr:rowOff>
                  </from>
                  <to>
                    <xdr:col>3</xdr:col>
                    <xdr:colOff>0</xdr:colOff>
                    <xdr:row>35</xdr:row>
                    <xdr:rowOff>0</xdr:rowOff>
                  </to>
                </anchor>
              </controlPr>
            </control>
          </mc:Choice>
        </mc:AlternateContent>
        <mc:AlternateContent xmlns:mc="http://schemas.openxmlformats.org/markup-compatibility/2006">
          <mc:Choice Requires="x14">
            <control shapeId="20487" r:id="rId6" name="Button 7">
              <controlPr defaultSize="0" print="0" autoFill="0" autoPict="0" macro="[0]!VaiDettaglioInvestimentoCapoII">
                <anchor moveWithCells="1" sizeWithCells="1">
                  <from>
                    <xdr:col>0</xdr:col>
                    <xdr:colOff>393700</xdr:colOff>
                    <xdr:row>21</xdr:row>
                    <xdr:rowOff>107950</xdr:rowOff>
                  </from>
                  <to>
                    <xdr:col>0</xdr:col>
                    <xdr:colOff>2889250</xdr:colOff>
                    <xdr:row>27</xdr:row>
                    <xdr:rowOff>50800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77128-77D6-4AE4-9C1C-95DC33C92F5E}">
  <sheetPr codeName="Foglio49"/>
  <dimension ref="A1:U51"/>
  <sheetViews>
    <sheetView showRowColHeaders="0" zoomScaleNormal="100" workbookViewId="0">
      <selection activeCell="K1" sqref="K1"/>
    </sheetView>
  </sheetViews>
  <sheetFormatPr defaultColWidth="0" defaultRowHeight="15" customHeight="1" zeroHeight="1" x14ac:dyDescent="0.35"/>
  <cols>
    <col min="1" max="1" width="15.54296875" style="989" customWidth="1"/>
    <col min="2" max="2" width="20" style="989" customWidth="1"/>
    <col min="3" max="3" width="16.7265625" style="989" customWidth="1"/>
    <col min="4" max="4" width="23" style="989" customWidth="1"/>
    <col min="5" max="5" width="26.453125" style="989" customWidth="1"/>
    <col min="6" max="6" width="21.81640625" style="989" customWidth="1"/>
    <col min="7" max="7" width="15.1796875" style="989" customWidth="1"/>
    <col min="8" max="9" width="22.26953125" style="989" customWidth="1"/>
    <col min="10" max="10" width="25.81640625" style="989" customWidth="1"/>
    <col min="11" max="11" width="27.26953125" style="989" customWidth="1"/>
    <col min="12" max="12" width="25.1796875" style="989" hidden="1" customWidth="1"/>
    <col min="13" max="13" width="26.1796875" style="989" customWidth="1"/>
    <col min="14" max="14" width="7.54296875" style="989" hidden="1" customWidth="1"/>
    <col min="15" max="16" width="7.54296875" hidden="1" customWidth="1"/>
    <col min="17" max="17" width="105.54296875" hidden="1" customWidth="1"/>
    <col min="18" max="18" width="8.453125" hidden="1" customWidth="1"/>
    <col min="19" max="21" width="7.54296875" hidden="1" customWidth="1"/>
    <col min="22" max="16384" width="9.1796875" hidden="1"/>
  </cols>
  <sheetData>
    <row r="1" spans="1:18" ht="57" thickBot="1" x14ac:dyDescent="0.4">
      <c r="A1" s="1436" t="s">
        <v>1643</v>
      </c>
      <c r="B1" s="1437" t="s">
        <v>1644</v>
      </c>
      <c r="C1" s="1437" t="s">
        <v>563</v>
      </c>
      <c r="D1" s="1437" t="s">
        <v>1645</v>
      </c>
      <c r="E1" s="1437" t="s">
        <v>1646</v>
      </c>
      <c r="F1" s="1437" t="s">
        <v>567</v>
      </c>
      <c r="G1" s="1437" t="s">
        <v>568</v>
      </c>
      <c r="H1" s="1437" t="s">
        <v>569</v>
      </c>
      <c r="I1" s="1437" t="s">
        <v>570</v>
      </c>
      <c r="J1" s="1437" t="s">
        <v>2344</v>
      </c>
      <c r="K1" s="1437" t="s">
        <v>2343</v>
      </c>
      <c r="L1" s="1454" t="s">
        <v>574</v>
      </c>
    </row>
    <row r="2" spans="1:18" ht="36" customHeight="1" x14ac:dyDescent="0.35">
      <c r="A2" s="1438"/>
      <c r="B2" s="1439"/>
      <c r="C2" s="1440"/>
      <c r="D2" s="1441"/>
      <c r="E2" s="1441"/>
      <c r="F2" s="1442"/>
      <c r="G2" s="1442"/>
      <c r="H2" s="1442"/>
      <c r="I2" s="1453">
        <f>+SUM(F2:H2)</f>
        <v>0</v>
      </c>
      <c r="J2" s="1442"/>
      <c r="K2" s="1618"/>
      <c r="L2" s="1455"/>
    </row>
    <row r="3" spans="1:18" ht="33" customHeight="1" x14ac:dyDescent="0.35">
      <c r="A3" s="1438"/>
      <c r="B3" s="1443"/>
      <c r="C3" s="1444"/>
      <c r="D3" s="1445"/>
      <c r="E3" s="1441"/>
      <c r="F3" s="1446"/>
      <c r="G3" s="1447"/>
      <c r="H3" s="1447"/>
      <c r="I3" s="1453">
        <f t="shared" ref="I3:I14" si="0">+SUM(F3:H3)</f>
        <v>0</v>
      </c>
      <c r="J3" s="1447"/>
      <c r="K3" s="1619"/>
      <c r="L3" s="1456"/>
    </row>
    <row r="4" spans="1:18" ht="33" customHeight="1" x14ac:dyDescent="0.35">
      <c r="A4" s="1438"/>
      <c r="B4" s="1443"/>
      <c r="C4" s="1444"/>
      <c r="D4" s="1445"/>
      <c r="E4" s="1441"/>
      <c r="F4" s="1446"/>
      <c r="G4" s="1447"/>
      <c r="H4" s="1447"/>
      <c r="I4" s="1453">
        <f t="shared" si="0"/>
        <v>0</v>
      </c>
      <c r="J4" s="1447"/>
      <c r="K4" s="1619"/>
      <c r="L4" s="1456"/>
    </row>
    <row r="5" spans="1:18" ht="33" customHeight="1" x14ac:dyDescent="0.35">
      <c r="A5" s="1438"/>
      <c r="B5" s="1443"/>
      <c r="C5" s="1444"/>
      <c r="D5" s="1445"/>
      <c r="E5" s="1441"/>
      <c r="F5" s="1446"/>
      <c r="G5" s="1447"/>
      <c r="H5" s="1447"/>
      <c r="I5" s="1453">
        <f t="shared" si="0"/>
        <v>0</v>
      </c>
      <c r="J5" s="1447"/>
      <c r="K5" s="1619"/>
      <c r="L5" s="1456"/>
    </row>
    <row r="6" spans="1:18" ht="33" customHeight="1" x14ac:dyDescent="0.35">
      <c r="A6" s="1438"/>
      <c r="B6" s="1443"/>
      <c r="C6" s="1444"/>
      <c r="D6" s="1445"/>
      <c r="E6" s="1441"/>
      <c r="F6" s="1446"/>
      <c r="G6" s="1447"/>
      <c r="H6" s="1447"/>
      <c r="I6" s="1453">
        <f t="shared" si="0"/>
        <v>0</v>
      </c>
      <c r="J6" s="1447"/>
      <c r="K6" s="1619"/>
      <c r="L6" s="1456"/>
    </row>
    <row r="7" spans="1:18" ht="33" customHeight="1" x14ac:dyDescent="0.35">
      <c r="A7" s="1438"/>
      <c r="B7" s="1443"/>
      <c r="C7" s="1444"/>
      <c r="D7" s="1445"/>
      <c r="E7" s="1441"/>
      <c r="F7" s="1446"/>
      <c r="G7" s="1447"/>
      <c r="H7" s="1447"/>
      <c r="I7" s="1453">
        <f t="shared" si="0"/>
        <v>0</v>
      </c>
      <c r="J7" s="1447"/>
      <c r="K7" s="1619"/>
      <c r="L7" s="1456"/>
    </row>
    <row r="8" spans="1:18" ht="33" customHeight="1" x14ac:dyDescent="0.35">
      <c r="A8" s="1438"/>
      <c r="B8" s="1443"/>
      <c r="C8" s="1444"/>
      <c r="D8" s="1445"/>
      <c r="E8" s="1441"/>
      <c r="F8" s="1446"/>
      <c r="G8" s="1447"/>
      <c r="H8" s="1447"/>
      <c r="I8" s="1453">
        <f t="shared" si="0"/>
        <v>0</v>
      </c>
      <c r="J8" s="1447"/>
      <c r="K8" s="1619"/>
      <c r="L8" s="1456"/>
    </row>
    <row r="9" spans="1:18" ht="30.75" customHeight="1" x14ac:dyDescent="0.35">
      <c r="A9" s="1438"/>
      <c r="B9" s="1443"/>
      <c r="C9" s="1444"/>
      <c r="D9" s="1445"/>
      <c r="E9" s="1441"/>
      <c r="F9" s="1446"/>
      <c r="G9" s="1447"/>
      <c r="H9" s="1447"/>
      <c r="I9" s="1453">
        <f t="shared" si="0"/>
        <v>0</v>
      </c>
      <c r="J9" s="1447"/>
      <c r="K9" s="1619"/>
      <c r="L9" s="1456"/>
    </row>
    <row r="10" spans="1:18" ht="34.5" customHeight="1" x14ac:dyDescent="0.35">
      <c r="A10" s="1438"/>
      <c r="B10" s="1443"/>
      <c r="C10" s="1444"/>
      <c r="D10" s="1445"/>
      <c r="E10" s="1441"/>
      <c r="F10" s="1446"/>
      <c r="G10" s="1447"/>
      <c r="H10" s="1447"/>
      <c r="I10" s="1453">
        <f t="shared" si="0"/>
        <v>0</v>
      </c>
      <c r="J10" s="1447"/>
      <c r="K10" s="1619"/>
      <c r="L10" s="1456"/>
    </row>
    <row r="11" spans="1:18" ht="25.5" customHeight="1" x14ac:dyDescent="0.35">
      <c r="A11" s="1438"/>
      <c r="B11" s="1443"/>
      <c r="C11" s="1444"/>
      <c r="D11" s="1445"/>
      <c r="E11" s="1441"/>
      <c r="F11" s="1446"/>
      <c r="G11" s="1447"/>
      <c r="H11" s="1447"/>
      <c r="I11" s="1453">
        <f t="shared" si="0"/>
        <v>0</v>
      </c>
      <c r="J11" s="1447"/>
      <c r="K11" s="1619"/>
      <c r="L11" s="1456"/>
    </row>
    <row r="12" spans="1:18" ht="25.5" customHeight="1" x14ac:dyDescent="0.35">
      <c r="A12" s="1438"/>
      <c r="B12" s="1443"/>
      <c r="C12" s="1444"/>
      <c r="D12" s="1445"/>
      <c r="E12" s="1441"/>
      <c r="F12" s="1446"/>
      <c r="G12" s="1447"/>
      <c r="H12" s="1447"/>
      <c r="I12" s="1453">
        <f t="shared" si="0"/>
        <v>0</v>
      </c>
      <c r="J12" s="1447"/>
      <c r="K12" s="1619"/>
      <c r="L12" s="1456"/>
    </row>
    <row r="13" spans="1:18" ht="27.75" customHeight="1" x14ac:dyDescent="0.35">
      <c r="A13" s="1438"/>
      <c r="B13" s="1443"/>
      <c r="C13" s="1444"/>
      <c r="D13" s="1445"/>
      <c r="E13" s="1441"/>
      <c r="F13" s="1446"/>
      <c r="G13" s="1447"/>
      <c r="H13" s="1447"/>
      <c r="I13" s="1453">
        <f t="shared" si="0"/>
        <v>0</v>
      </c>
      <c r="J13" s="1447"/>
      <c r="K13" s="1619"/>
      <c r="L13" s="1456"/>
    </row>
    <row r="14" spans="1:18" ht="21.75" customHeight="1" x14ac:dyDescent="0.35">
      <c r="A14" s="1438"/>
      <c r="B14" s="1443"/>
      <c r="C14" s="1444"/>
      <c r="D14" s="1445"/>
      <c r="E14" s="1441"/>
      <c r="F14" s="1446"/>
      <c r="G14" s="1447"/>
      <c r="H14" s="1447"/>
      <c r="I14" s="1453">
        <f t="shared" si="0"/>
        <v>0</v>
      </c>
      <c r="J14" s="1447"/>
      <c r="K14" s="1619"/>
      <c r="L14" s="1456"/>
      <c r="Q14" s="1275"/>
      <c r="R14" s="1275"/>
    </row>
    <row r="15" spans="1:18" ht="38.25" customHeight="1" thickBot="1" x14ac:dyDescent="0.4">
      <c r="A15" s="1448"/>
      <c r="B15" s="1443"/>
      <c r="C15" s="1449"/>
      <c r="D15" s="1443"/>
      <c r="E15" s="1441"/>
      <c r="F15" s="1446"/>
      <c r="G15" s="1447"/>
      <c r="H15" s="1447"/>
      <c r="I15" s="1453">
        <f>+SUM(F15:H15)</f>
        <v>0</v>
      </c>
      <c r="J15" s="1447"/>
      <c r="K15" s="1619"/>
      <c r="L15" s="1456"/>
      <c r="Q15" s="1275"/>
      <c r="R15" s="1275"/>
    </row>
    <row r="16" spans="1:18" thickBot="1" x14ac:dyDescent="0.4">
      <c r="A16" s="1451"/>
      <c r="B16" s="1452"/>
      <c r="C16" s="1452"/>
      <c r="D16" s="1452"/>
      <c r="E16" s="1452" t="s">
        <v>570</v>
      </c>
      <c r="F16" s="1450">
        <f t="shared" ref="F16:I16" si="1">+SUM(F2:F15)</f>
        <v>0</v>
      </c>
      <c r="G16" s="1450">
        <f t="shared" si="1"/>
        <v>0</v>
      </c>
      <c r="H16" s="1450">
        <f t="shared" si="1"/>
        <v>0</v>
      </c>
      <c r="I16" s="1450">
        <f t="shared" si="1"/>
        <v>0</v>
      </c>
      <c r="J16" s="1450">
        <f>+SUM(J2:J15)</f>
        <v>0</v>
      </c>
      <c r="K16" s="1450"/>
      <c r="L16" s="1454"/>
    </row>
    <row r="17" spans="17:18" ht="14.5" x14ac:dyDescent="0.35"/>
    <row r="18" spans="17:18" ht="15" customHeight="1" x14ac:dyDescent="0.35"/>
    <row r="19" spans="17:18" ht="15" customHeight="1" x14ac:dyDescent="0.35"/>
    <row r="20" spans="17:18" ht="15" customHeight="1" x14ac:dyDescent="0.35">
      <c r="Q20" s="1275"/>
      <c r="R20" s="1275"/>
    </row>
    <row r="21" spans="17:18" ht="15" customHeight="1" x14ac:dyDescent="0.35">
      <c r="Q21" s="1275"/>
      <c r="R21" s="1275"/>
    </row>
    <row r="22" spans="17:18" ht="15" customHeight="1" x14ac:dyDescent="0.35">
      <c r="Q22" s="1275"/>
      <c r="R22" s="1275"/>
    </row>
    <row r="23" spans="17:18" ht="15" customHeight="1" x14ac:dyDescent="0.35">
      <c r="Q23" s="1275"/>
      <c r="R23" s="1275"/>
    </row>
    <row r="24" spans="17:18" ht="15" customHeight="1" x14ac:dyDescent="0.35">
      <c r="Q24" s="1275"/>
      <c r="R24" s="1275"/>
    </row>
    <row r="25" spans="17:18" ht="15" customHeight="1" x14ac:dyDescent="0.35">
      <c r="Q25" s="1275"/>
      <c r="R25" s="1275"/>
    </row>
    <row r="26" spans="17:18" ht="15" customHeight="1" x14ac:dyDescent="0.35"/>
    <row r="27" spans="17:18" ht="15" customHeight="1" x14ac:dyDescent="0.35"/>
    <row r="28" spans="17:18" ht="15" customHeight="1" x14ac:dyDescent="0.35"/>
    <row r="35" ht="15" customHeight="1" x14ac:dyDescent="0.35"/>
    <row r="36" ht="15" customHeight="1" x14ac:dyDescent="0.35"/>
    <row r="37" ht="15" customHeight="1" x14ac:dyDescent="0.35"/>
    <row r="38" ht="15" customHeight="1" x14ac:dyDescent="0.35"/>
    <row r="39" ht="15" customHeight="1" x14ac:dyDescent="0.35"/>
    <row r="40" ht="15" customHeight="1" x14ac:dyDescent="0.35"/>
    <row r="49" spans="1:13" ht="15" customHeight="1" x14ac:dyDescent="0.35"/>
    <row r="50" spans="1:13" ht="15" customHeight="1" x14ac:dyDescent="0.35"/>
    <row r="51" spans="1:13" ht="60" customHeight="1" x14ac:dyDescent="0.35">
      <c r="A51" s="1762" t="s">
        <v>1642</v>
      </c>
      <c r="B51" s="1762"/>
      <c r="C51" s="1762"/>
      <c r="D51" s="1762"/>
      <c r="E51" s="1762"/>
      <c r="F51" s="1762"/>
      <c r="G51" s="1762"/>
      <c r="H51" s="1762"/>
      <c r="I51" s="1762"/>
      <c r="J51" s="1762"/>
      <c r="K51" s="1762"/>
      <c r="L51" s="1762"/>
      <c r="M51" s="1762"/>
    </row>
  </sheetData>
  <sheetProtection algorithmName="SHA-512" hashValue="peFZkcyyGXku/MkL7tFlQ8vtURFqVwn42X//+c+06I939k3qyiSNPXa+AOmlWbS5elPQtuINKYqKS/JpWSLLsA==" saltValue="uvibHmLgqIFwKOJ/rEZMwQ==" spinCount="100000" sheet="1" insertRows="0" selectLockedCells="1"/>
  <mergeCells count="1">
    <mergeCell ref="A51:M51"/>
  </mergeCells>
  <dataValidations count="3">
    <dataValidation type="list" allowBlank="1" showInputMessage="1" showErrorMessage="1" sqref="A2:A15" xr:uid="{D8B23B75-77C2-4099-9DE9-FC59B4F91E11}">
      <formula1>"Preventivo,Fattura"</formula1>
    </dataValidation>
    <dataValidation type="decimal" allowBlank="1" showInputMessage="1" showErrorMessage="1" sqref="F1:H50 F52:H1048576" xr:uid="{A827B366-5B56-4DF3-AAF8-DCFE8F3F0763}">
      <formula1>0</formula1>
      <formula2>9.99999999999999E+46</formula2>
    </dataValidation>
    <dataValidation type="list" allowBlank="1" showInputMessage="1" showErrorMessage="1" sqref="E2:E15" xr:uid="{F91D2179-DE34-4E35-9377-6A4ABFDEAB03}">
      <formula1>Macrocategoria</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3057" r:id="rId4" name="Button 1">
              <controlPr defaultSize="0" print="0" autoFill="0" autoPict="0" macro="[0]!AggiungiRiga1">
                <anchor moveWithCells="1" sizeWithCells="1">
                  <from>
                    <xdr:col>12</xdr:col>
                    <xdr:colOff>12700</xdr:colOff>
                    <xdr:row>0</xdr:row>
                    <xdr:rowOff>0</xdr:rowOff>
                  </from>
                  <to>
                    <xdr:col>12</xdr:col>
                    <xdr:colOff>1479550</xdr:colOff>
                    <xdr:row>0</xdr:row>
                    <xdr:rowOff>381000</xdr:rowOff>
                  </to>
                </anchor>
              </controlPr>
            </control>
          </mc:Choice>
        </mc:AlternateContent>
        <mc:AlternateContent xmlns:mc="http://schemas.openxmlformats.org/markup-compatibility/2006">
          <mc:Choice Requires="x14">
            <control shapeId="173059" r:id="rId5" name="Button 3">
              <controlPr defaultSize="0" print="0" autoFill="0" autoPict="0" macro="[0]!Torna">
                <anchor moveWithCells="1" sizeWithCells="1">
                  <from>
                    <xdr:col>12</xdr:col>
                    <xdr:colOff>19050</xdr:colOff>
                    <xdr:row>12</xdr:row>
                    <xdr:rowOff>184150</xdr:rowOff>
                  </from>
                  <to>
                    <xdr:col>12</xdr:col>
                    <xdr:colOff>1727200</xdr:colOff>
                    <xdr:row>15</xdr:row>
                    <xdr:rowOff>184150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928F8-1DF8-46C1-BEF9-AB04233A904C}">
  <sheetPr codeName="Foglio47"/>
  <dimension ref="A1:I74"/>
  <sheetViews>
    <sheetView showGridLines="0" showRowColHeaders="0" workbookViewId="0">
      <selection activeCell="E66" sqref="E66"/>
    </sheetView>
  </sheetViews>
  <sheetFormatPr defaultColWidth="15.7265625" defaultRowHeight="14.5" zeroHeight="1" x14ac:dyDescent="0.35"/>
  <cols>
    <col min="1" max="1" width="9.1796875" customWidth="1"/>
    <col min="2" max="2" width="10.1796875" customWidth="1"/>
    <col min="3" max="3" width="19.26953125" customWidth="1"/>
    <col min="4" max="4" width="39.54296875" customWidth="1"/>
    <col min="5" max="5" width="26.7265625" customWidth="1"/>
    <col min="6" max="6" width="31.453125" customWidth="1"/>
  </cols>
  <sheetData>
    <row r="1" spans="1:9" x14ac:dyDescent="0.35">
      <c r="A1" s="989"/>
      <c r="B1" s="989"/>
      <c r="C1" s="989"/>
      <c r="D1" s="989"/>
      <c r="E1" s="989"/>
      <c r="F1" s="989"/>
      <c r="G1" s="989"/>
    </row>
    <row r="2" spans="1:9" ht="27.75" customHeight="1" x14ac:dyDescent="0.35">
      <c r="A2" s="989"/>
      <c r="B2" s="989"/>
      <c r="C2" s="989"/>
      <c r="D2" s="989"/>
      <c r="E2" s="989"/>
      <c r="F2" s="989"/>
      <c r="G2" s="989"/>
    </row>
    <row r="3" spans="1:9" ht="29.25" customHeight="1" x14ac:dyDescent="0.35">
      <c r="A3" s="989"/>
      <c r="B3" s="989"/>
      <c r="C3" s="989"/>
      <c r="D3" s="989"/>
      <c r="E3" s="989"/>
      <c r="F3" s="989"/>
      <c r="G3" s="989"/>
    </row>
    <row r="4" spans="1:9" ht="27" customHeight="1" thickBot="1" x14ac:dyDescent="0.4">
      <c r="A4" s="989"/>
      <c r="B4" s="989"/>
      <c r="C4" s="989"/>
      <c r="D4" s="989"/>
      <c r="E4" s="989"/>
      <c r="F4" s="989"/>
      <c r="G4" s="989"/>
    </row>
    <row r="5" spans="1:9" ht="31.5" hidden="1" customHeight="1" thickBot="1" x14ac:dyDescent="0.4">
      <c r="A5" s="989"/>
      <c r="B5" s="989"/>
      <c r="C5" s="989"/>
      <c r="D5" s="1466" t="s">
        <v>1647</v>
      </c>
      <c r="E5" s="1778" t="s">
        <v>1648</v>
      </c>
      <c r="F5" s="1779"/>
      <c r="G5" s="1467"/>
      <c r="H5" s="596" t="s">
        <v>1649</v>
      </c>
    </row>
    <row r="6" spans="1:9" ht="108" customHeight="1" thickTop="1" thickBot="1" x14ac:dyDescent="0.4">
      <c r="A6" s="989"/>
      <c r="B6" s="989"/>
      <c r="C6" s="989"/>
      <c r="D6" s="1789" t="str">
        <f>+IF(E5="QUADRO TEMPORANEO UCRAINA",_xlfn.CONCAT("L'impresa ha subito le conseguenze della crisi in termini, ad esempio, di aumento dei costi energetici, difficoltà di approvvigionamento,"," aumento del costo delle materie prime o riduzione delle vendite. Tale dichiarazione sarà soggetta a verifica a campione secondo le normative nazionali")," ")</f>
        <v>L'impresa ha subito le conseguenze della crisi in termini, ad esempio, di aumento dei costi energetici, difficoltà di approvvigionamento, aumento del costo delle materie prime o riduzione delle vendite. Tale dichiarazione sarà soggetta a verifica a campione secondo le normative nazionali</v>
      </c>
      <c r="E6" s="1790"/>
      <c r="F6" s="1791"/>
      <c r="G6" s="898"/>
    </row>
    <row r="7" spans="1:9" ht="23.25" customHeight="1" thickTop="1" x14ac:dyDescent="0.35">
      <c r="A7" s="989"/>
      <c r="B7" s="989"/>
      <c r="C7" s="989"/>
      <c r="D7" s="1353"/>
      <c r="E7" s="1353"/>
      <c r="F7" s="1353"/>
      <c r="G7" s="898"/>
    </row>
    <row r="8" spans="1:9" hidden="1" x14ac:dyDescent="0.35">
      <c r="A8" s="989"/>
      <c r="B8" s="989"/>
      <c r="C8" s="989"/>
      <c r="D8" s="989"/>
      <c r="E8" s="989"/>
      <c r="F8" s="989"/>
      <c r="G8" s="898"/>
    </row>
    <row r="9" spans="1:9" ht="30" hidden="1" thickTop="1" thickBot="1" x14ac:dyDescent="0.4">
      <c r="A9" s="989"/>
      <c r="B9" s="989"/>
      <c r="C9" s="989"/>
      <c r="D9" s="1470" t="s">
        <v>1650</v>
      </c>
      <c r="E9" s="1471" t="s">
        <v>1563</v>
      </c>
      <c r="F9" s="1463"/>
      <c r="G9" s="898"/>
      <c r="H9" s="596" t="s">
        <v>1651</v>
      </c>
    </row>
    <row r="10" spans="1:9" ht="15" hidden="1" thickTop="1" x14ac:dyDescent="0.35">
      <c r="A10" s="989"/>
      <c r="B10" s="989"/>
      <c r="C10" s="989"/>
      <c r="D10" s="989"/>
      <c r="E10" s="989"/>
      <c r="F10" s="989"/>
      <c r="G10" s="989"/>
    </row>
    <row r="11" spans="1:9" ht="15" hidden="1" thickBot="1" x14ac:dyDescent="0.4">
      <c r="A11" s="989"/>
      <c r="B11" s="989"/>
      <c r="C11" s="989"/>
      <c r="D11" s="989"/>
      <c r="E11" s="989"/>
      <c r="F11" s="989"/>
    </row>
    <row r="12" spans="1:9" ht="53.15" hidden="1" customHeight="1" thickTop="1" thickBot="1" x14ac:dyDescent="0.4">
      <c r="A12" s="989"/>
      <c r="B12" s="989"/>
      <c r="C12" s="989"/>
      <c r="D12" s="1388" t="s">
        <v>1564</v>
      </c>
      <c r="E12" s="1389" t="s">
        <v>1565</v>
      </c>
      <c r="F12" s="1415" t="s">
        <v>1566</v>
      </c>
      <c r="G12" s="1415" t="s">
        <v>1567</v>
      </c>
    </row>
    <row r="13" spans="1:9" ht="15" hidden="1" thickTop="1" x14ac:dyDescent="0.35">
      <c r="A13" s="989"/>
      <c r="B13" s="989"/>
      <c r="C13" s="989"/>
      <c r="D13" s="1407" t="s">
        <v>579</v>
      </c>
      <c r="E13" s="1411">
        <f>+'ON ANAGRAFICA'!C23</f>
        <v>0</v>
      </c>
      <c r="F13" s="1412">
        <f ca="1">+IF(E13&gt;$F$18*G13,$F$18*G13,E13)</f>
        <v>0</v>
      </c>
      <c r="G13" s="1416">
        <v>0.5</v>
      </c>
      <c r="I13" s="335"/>
    </row>
    <row r="14" spans="1:9" hidden="1" x14ac:dyDescent="0.35">
      <c r="A14" s="989"/>
      <c r="B14" s="989"/>
      <c r="C14" s="989"/>
      <c r="D14" s="1408" t="s">
        <v>578</v>
      </c>
      <c r="E14" s="1413">
        <f>+'ON ANAGRAFICA'!C24</f>
        <v>0</v>
      </c>
      <c r="F14" s="1371">
        <f>E14</f>
        <v>0</v>
      </c>
      <c r="G14" s="1416">
        <v>1</v>
      </c>
    </row>
    <row r="15" spans="1:9" ht="52" hidden="1" customHeight="1" x14ac:dyDescent="0.35">
      <c r="A15" s="989"/>
      <c r="B15" s="989"/>
      <c r="C15" s="989"/>
      <c r="D15" s="1409" t="s">
        <v>585</v>
      </c>
      <c r="E15" s="1413">
        <f>+'ON ANAGRAFICA'!C25</f>
        <v>0</v>
      </c>
      <c r="F15" s="1371">
        <f>E15</f>
        <v>0</v>
      </c>
      <c r="G15" s="1416">
        <v>1</v>
      </c>
    </row>
    <row r="16" spans="1:9" ht="25" hidden="1" customHeight="1" x14ac:dyDescent="0.35">
      <c r="A16" s="989"/>
      <c r="B16" s="989"/>
      <c r="C16" s="989"/>
      <c r="D16" s="1408" t="s">
        <v>592</v>
      </c>
      <c r="E16" s="1413">
        <f>+'ON ANAGRAFICA'!C26</f>
        <v>0</v>
      </c>
      <c r="F16" s="1371">
        <f>E16</f>
        <v>0</v>
      </c>
      <c r="G16" s="1416">
        <v>1</v>
      </c>
    </row>
    <row r="17" spans="1:9" ht="15" hidden="1" thickBot="1" x14ac:dyDescent="0.4">
      <c r="A17" s="989"/>
      <c r="B17" s="989"/>
      <c r="C17" s="989"/>
      <c r="D17" s="1410" t="s">
        <v>597</v>
      </c>
      <c r="E17" s="1414">
        <f>+'ON ANAGRAFICA'!C27</f>
        <v>0</v>
      </c>
      <c r="F17" s="1375">
        <f ca="1">IF(E17&gt;$F$18*G17,$F$18*G17,E17)</f>
        <v>0</v>
      </c>
      <c r="G17" s="1416">
        <v>0.15</v>
      </c>
    </row>
    <row r="18" spans="1:9" ht="15.5" hidden="1" thickTop="1" thickBot="1" x14ac:dyDescent="0.4">
      <c r="A18" s="989"/>
      <c r="B18" s="989"/>
      <c r="C18" s="989"/>
      <c r="D18" s="1406" t="s">
        <v>1570</v>
      </c>
      <c r="E18" s="1333">
        <f>SUM(E13:E17)</f>
        <v>0</v>
      </c>
      <c r="F18" s="1333">
        <f ca="1">SUM(F13:F17)</f>
        <v>0</v>
      </c>
      <c r="G18" s="1417">
        <v>1</v>
      </c>
    </row>
    <row r="19" spans="1:9" ht="15" hidden="1" thickTop="1" x14ac:dyDescent="0.35">
      <c r="A19" s="989"/>
      <c r="B19" s="989"/>
      <c r="C19" s="989"/>
      <c r="D19" s="989"/>
      <c r="E19" s="989"/>
      <c r="F19" s="989"/>
      <c r="G19" s="1335"/>
    </row>
    <row r="20" spans="1:9" hidden="1" x14ac:dyDescent="0.35">
      <c r="A20" s="989"/>
      <c r="B20" s="989"/>
      <c r="C20" s="989"/>
      <c r="D20" s="989"/>
      <c r="E20" s="989"/>
      <c r="F20" s="989"/>
      <c r="G20" s="989"/>
    </row>
    <row r="21" spans="1:9" hidden="1" x14ac:dyDescent="0.35">
      <c r="A21" s="989"/>
      <c r="B21" s="989"/>
      <c r="C21" s="989"/>
      <c r="D21" s="989"/>
      <c r="E21" s="989"/>
      <c r="F21" s="989"/>
      <c r="G21" s="989"/>
    </row>
    <row r="22" spans="1:9" hidden="1" x14ac:dyDescent="0.35">
      <c r="A22" s="989"/>
      <c r="B22" s="989"/>
      <c r="C22" s="989"/>
      <c r="D22" s="989"/>
      <c r="E22" s="989"/>
      <c r="F22" s="989"/>
      <c r="G22" s="989"/>
    </row>
    <row r="23" spans="1:9" hidden="1" x14ac:dyDescent="0.35">
      <c r="A23" s="1463"/>
      <c r="B23" s="1463"/>
      <c r="C23" s="1463"/>
      <c r="D23" s="1463" t="s">
        <v>1652</v>
      </c>
      <c r="E23" s="1463"/>
      <c r="F23" s="1463"/>
      <c r="G23" s="1463"/>
    </row>
    <row r="24" spans="1:9" hidden="1" x14ac:dyDescent="0.35">
      <c r="A24" s="1463"/>
      <c r="B24" s="1463"/>
      <c r="C24" s="1463"/>
      <c r="D24" s="1463"/>
      <c r="E24" s="1463"/>
      <c r="F24" s="1463"/>
      <c r="G24" s="1463"/>
    </row>
    <row r="25" spans="1:9" hidden="1" x14ac:dyDescent="0.35">
      <c r="A25" s="1463"/>
      <c r="B25" s="1463"/>
      <c r="C25" s="1463"/>
      <c r="D25" s="1463" t="s">
        <v>1653</v>
      </c>
      <c r="E25" s="1463">
        <v>0.8</v>
      </c>
      <c r="F25" s="1463"/>
      <c r="G25" s="1463"/>
    </row>
    <row r="26" spans="1:9" hidden="1" x14ac:dyDescent="0.35">
      <c r="A26" s="1463"/>
      <c r="B26" s="1463"/>
      <c r="C26" s="1463"/>
      <c r="D26" s="1463" t="s">
        <v>1654</v>
      </c>
      <c r="E26" s="1463" t="str">
        <f>+'ON ANAGRAFICA'!I8</f>
        <v>FALSO</v>
      </c>
      <c r="F26" s="1463"/>
      <c r="G26" s="1463"/>
    </row>
    <row r="27" spans="1:9" s="989" customFormat="1" hidden="1" x14ac:dyDescent="0.35">
      <c r="D27" s="989" t="s">
        <v>1655</v>
      </c>
      <c r="E27" s="989" t="str">
        <f>IF('ON ANAGRAFICA'!B8="MEDIA","Me","MP")</f>
        <v>MP</v>
      </c>
    </row>
    <row r="28" spans="1:9" hidden="1" x14ac:dyDescent="0.35">
      <c r="A28" s="1463"/>
      <c r="B28" s="1463"/>
      <c r="C28" s="1463"/>
      <c r="D28" s="1463"/>
      <c r="E28" s="1463"/>
      <c r="F28" s="1463"/>
      <c r="G28" s="1463"/>
    </row>
    <row r="29" spans="1:9" hidden="1" x14ac:dyDescent="0.35">
      <c r="A29" s="1463"/>
      <c r="B29" s="1463"/>
      <c r="C29" s="1463"/>
      <c r="D29" s="1780" t="s">
        <v>1656</v>
      </c>
      <c r="E29" s="1781"/>
      <c r="F29" s="1782"/>
      <c r="G29" s="1463"/>
    </row>
    <row r="30" spans="1:9" hidden="1" x14ac:dyDescent="0.35">
      <c r="A30" s="1463"/>
      <c r="B30" s="1463"/>
      <c r="C30" s="1463"/>
      <c r="D30" s="1464" t="s">
        <v>1655</v>
      </c>
      <c r="E30" s="1464" t="s">
        <v>1657</v>
      </c>
      <c r="F30" s="1464" t="s">
        <v>1658</v>
      </c>
      <c r="G30" s="1463"/>
    </row>
    <row r="31" spans="1:9" ht="20.5" hidden="1" customHeight="1" x14ac:dyDescent="0.35">
      <c r="A31" s="1463"/>
      <c r="B31" s="1463"/>
      <c r="C31" s="1465" t="s">
        <v>1659</v>
      </c>
      <c r="D31" s="1464">
        <f>IF(E27="A",1,0)</f>
        <v>0</v>
      </c>
      <c r="E31" s="1464">
        <f>IF(E26,1,0)</f>
        <v>0</v>
      </c>
      <c r="F31" s="1464">
        <f>IF(E9="SI",1,0)</f>
        <v>0</v>
      </c>
      <c r="G31" s="1463"/>
    </row>
    <row r="32" spans="1:9" hidden="1" x14ac:dyDescent="0.35">
      <c r="A32" s="1463"/>
      <c r="B32" s="1463"/>
      <c r="C32" s="1464" t="s">
        <v>260</v>
      </c>
      <c r="D32" s="1464">
        <f>IF(D31=1,0,1)</f>
        <v>1</v>
      </c>
      <c r="E32" s="1464">
        <f>+E31</f>
        <v>0</v>
      </c>
      <c r="F32" s="1464">
        <f>+F31</f>
        <v>0</v>
      </c>
      <c r="G32" s="1463"/>
      <c r="I32" s="596" t="s">
        <v>1660</v>
      </c>
    </row>
    <row r="33" spans="1:7" hidden="1" x14ac:dyDescent="0.35">
      <c r="A33" s="1463"/>
      <c r="B33" s="1463"/>
      <c r="C33" s="1463"/>
      <c r="D33" s="1463"/>
      <c r="E33" s="1463"/>
      <c r="F33" s="1463"/>
      <c r="G33" s="1463"/>
    </row>
    <row r="34" spans="1:7" hidden="1" x14ac:dyDescent="0.35">
      <c r="A34" s="1463"/>
      <c r="B34" s="1463"/>
      <c r="C34" s="1463"/>
      <c r="D34" s="1780" t="s">
        <v>1661</v>
      </c>
      <c r="E34" s="1781"/>
      <c r="F34" s="1782"/>
      <c r="G34" s="1463"/>
    </row>
    <row r="35" spans="1:7" hidden="1" x14ac:dyDescent="0.35">
      <c r="A35" s="1463"/>
      <c r="B35" s="1463"/>
      <c r="C35" s="1463"/>
      <c r="D35" s="1464" t="s">
        <v>1662</v>
      </c>
      <c r="E35" s="1464" t="s">
        <v>1663</v>
      </c>
      <c r="F35" s="1464" t="s">
        <v>1664</v>
      </c>
      <c r="G35" s="1463"/>
    </row>
    <row r="36" spans="1:7" hidden="1" x14ac:dyDescent="0.35">
      <c r="A36" s="1463"/>
      <c r="B36" s="1463"/>
      <c r="C36" s="1463"/>
      <c r="D36" s="1464" t="s">
        <v>1659</v>
      </c>
      <c r="E36" s="1464">
        <v>0.3</v>
      </c>
      <c r="F36" s="1464">
        <v>0.35</v>
      </c>
      <c r="G36" s="1463"/>
    </row>
    <row r="37" spans="1:7" hidden="1" x14ac:dyDescent="0.35">
      <c r="A37" s="1463"/>
      <c r="B37" s="1463"/>
      <c r="C37" s="1463"/>
      <c r="D37" s="1464" t="s">
        <v>260</v>
      </c>
      <c r="E37" s="1464">
        <v>0.2</v>
      </c>
      <c r="F37" s="1464">
        <v>0.25</v>
      </c>
      <c r="G37" s="1463"/>
    </row>
    <row r="38" spans="1:7" hidden="1" x14ac:dyDescent="0.35">
      <c r="A38" s="1463"/>
      <c r="B38" s="1463"/>
      <c r="C38" s="1463"/>
      <c r="D38" s="1780" t="s">
        <v>1665</v>
      </c>
      <c r="E38" s="1781"/>
      <c r="F38" s="1782"/>
      <c r="G38" s="1463"/>
    </row>
    <row r="39" spans="1:7" hidden="1" x14ac:dyDescent="0.35">
      <c r="A39" s="1463"/>
      <c r="B39" s="1463"/>
      <c r="C39" s="1463"/>
      <c r="D39" s="1464" t="s">
        <v>1662</v>
      </c>
      <c r="E39" s="1464" t="s">
        <v>1663</v>
      </c>
      <c r="F39" s="1464" t="s">
        <v>1664</v>
      </c>
      <c r="G39" s="1463"/>
    </row>
    <row r="40" spans="1:7" hidden="1" x14ac:dyDescent="0.35">
      <c r="A40" s="1463"/>
      <c r="B40" s="1463"/>
      <c r="C40" s="1463"/>
      <c r="D40" s="1464" t="s">
        <v>1659</v>
      </c>
      <c r="E40" s="1464">
        <v>0.45</v>
      </c>
      <c r="F40" s="1464">
        <v>0.5</v>
      </c>
      <c r="G40" s="1463"/>
    </row>
    <row r="41" spans="1:7" hidden="1" x14ac:dyDescent="0.35">
      <c r="A41" s="1463"/>
      <c r="B41" s="1463"/>
      <c r="C41" s="1463"/>
      <c r="D41" s="1464" t="s">
        <v>260</v>
      </c>
      <c r="E41" s="1464">
        <v>0.35</v>
      </c>
      <c r="F41" s="1464">
        <v>0.4</v>
      </c>
      <c r="G41" s="1463"/>
    </row>
    <row r="42" spans="1:7" hidden="1" x14ac:dyDescent="0.35">
      <c r="A42" s="1463"/>
      <c r="B42" s="1463"/>
      <c r="C42" s="1463"/>
      <c r="D42" s="1463"/>
      <c r="E42" s="1463"/>
      <c r="F42" s="1463"/>
      <c r="G42" s="1463"/>
    </row>
    <row r="43" spans="1:7" hidden="1" x14ac:dyDescent="0.35">
      <c r="A43" s="1463"/>
      <c r="B43" s="1463"/>
      <c r="C43" s="1463"/>
      <c r="D43" s="1463" t="s">
        <v>1655</v>
      </c>
      <c r="E43" s="1464" t="s">
        <v>1666</v>
      </c>
      <c r="F43" s="1464" t="s">
        <v>1667</v>
      </c>
      <c r="G43" s="1463"/>
    </row>
    <row r="44" spans="1:7" hidden="1" x14ac:dyDescent="0.35">
      <c r="A44" s="1463"/>
      <c r="B44" s="1463"/>
      <c r="C44" s="1463"/>
      <c r="D44" s="1463">
        <f>+D31</f>
        <v>0</v>
      </c>
      <c r="E44" s="1463">
        <f>IF(E31=0,E36,E40)</f>
        <v>0.3</v>
      </c>
      <c r="F44" s="1463">
        <f>IF(E31=0,F36,F40)</f>
        <v>0.35</v>
      </c>
      <c r="G44" s="1463">
        <f>+D44*IF(F31=0,E44,F44)</f>
        <v>0</v>
      </c>
    </row>
    <row r="45" spans="1:7" hidden="1" x14ac:dyDescent="0.35">
      <c r="A45" s="1463"/>
      <c r="B45" s="1463"/>
      <c r="C45" s="1463"/>
      <c r="D45" s="1463">
        <f>+D32</f>
        <v>1</v>
      </c>
      <c r="E45" s="1463">
        <f>IF(E32=0,E37,E41)</f>
        <v>0.2</v>
      </c>
      <c r="F45" s="1463">
        <f>IF(E32=0,F37,F41)</f>
        <v>0.25</v>
      </c>
      <c r="G45" s="1463">
        <f>+D45*IF(F32=0,E45,F45)</f>
        <v>0.2</v>
      </c>
    </row>
    <row r="47" spans="1:7" ht="18.5" hidden="1" x14ac:dyDescent="0.45">
      <c r="D47" s="1468" t="s">
        <v>1668</v>
      </c>
      <c r="E47" s="1469">
        <f>MAX(E50:E51)</f>
        <v>0.6</v>
      </c>
    </row>
    <row r="49" spans="1:7" hidden="1" x14ac:dyDescent="0.35">
      <c r="D49" t="s">
        <v>1669</v>
      </c>
      <c r="E49" s="1403">
        <v>1</v>
      </c>
    </row>
    <row r="50" spans="1:7" hidden="1" x14ac:dyDescent="0.35">
      <c r="D50" t="s">
        <v>1670</v>
      </c>
      <c r="E50">
        <f>+IF(E27="Me",0,0.6)</f>
        <v>0.6</v>
      </c>
    </row>
    <row r="51" spans="1:7" hidden="1" x14ac:dyDescent="0.35">
      <c r="D51" t="s">
        <v>260</v>
      </c>
      <c r="E51">
        <f>+IF(E50=0,0.5,0)</f>
        <v>0</v>
      </c>
    </row>
    <row r="52" spans="1:7" hidden="1" x14ac:dyDescent="0.35">
      <c r="D52" t="s">
        <v>1671</v>
      </c>
      <c r="E52" s="779">
        <v>500000</v>
      </c>
    </row>
    <row r="54" spans="1:7" hidden="1" x14ac:dyDescent="0.35">
      <c r="D54" t="s">
        <v>1672</v>
      </c>
      <c r="E54" s="779">
        <f ca="1">MIN(E52,E47*F18)</f>
        <v>0</v>
      </c>
    </row>
    <row r="55" spans="1:7" hidden="1" x14ac:dyDescent="0.35">
      <c r="D55" t="s">
        <v>1673</v>
      </c>
      <c r="E55" s="1329">
        <v>0</v>
      </c>
    </row>
    <row r="56" spans="1:7" hidden="1" x14ac:dyDescent="0.35">
      <c r="D56" t="s">
        <v>1674</v>
      </c>
      <c r="E56" s="1329">
        <f ca="1">+E47*F18</f>
        <v>0</v>
      </c>
    </row>
    <row r="58" spans="1:7" hidden="1" x14ac:dyDescent="0.35">
      <c r="D58" t="s">
        <v>1675</v>
      </c>
      <c r="E58" s="1329">
        <v>0</v>
      </c>
    </row>
    <row r="59" spans="1:7" hidden="1" x14ac:dyDescent="0.35">
      <c r="D59" t="s">
        <v>1676</v>
      </c>
      <c r="E59" s="264">
        <f>+E649</f>
        <v>0</v>
      </c>
      <c r="F59" t="s">
        <v>1677</v>
      </c>
    </row>
    <row r="60" spans="1:7" hidden="1" x14ac:dyDescent="0.35">
      <c r="D60" t="s">
        <v>1678</v>
      </c>
      <c r="E60" s="1329">
        <f ca="1">+E54-E66</f>
        <v>0</v>
      </c>
      <c r="F60" s="1331">
        <v>0</v>
      </c>
    </row>
    <row r="61" spans="1:7" hidden="1" x14ac:dyDescent="0.35">
      <c r="D61" t="s">
        <v>1679</v>
      </c>
      <c r="E61" s="264">
        <f>+E66</f>
        <v>0</v>
      </c>
    </row>
    <row r="62" spans="1:7" hidden="1" x14ac:dyDescent="0.35">
      <c r="E62" s="779">
        <f>ROUND(E59+E61,2)</f>
        <v>0</v>
      </c>
      <c r="F62" s="1330" t="e">
        <f ca="1">+E62/F18</f>
        <v>#DIV/0!</v>
      </c>
    </row>
    <row r="63" spans="1:7" ht="15" thickBot="1" x14ac:dyDescent="0.4">
      <c r="A63" s="989"/>
      <c r="B63" s="989"/>
      <c r="C63" s="989"/>
      <c r="D63" s="989"/>
      <c r="E63" s="989"/>
      <c r="F63" s="989"/>
      <c r="G63" s="989"/>
    </row>
    <row r="64" spans="1:7" ht="29.5" thickBot="1" x14ac:dyDescent="0.4">
      <c r="A64" s="989"/>
      <c r="B64" s="989"/>
      <c r="C64" s="989"/>
      <c r="D64" s="608"/>
      <c r="E64" s="1460" t="s">
        <v>1577</v>
      </c>
      <c r="F64" s="1461" t="s">
        <v>1680</v>
      </c>
    </row>
    <row r="65" spans="1:7" ht="34" customHeight="1" x14ac:dyDescent="0.35">
      <c r="A65" s="989"/>
      <c r="B65" s="989"/>
      <c r="C65" s="989"/>
      <c r="D65" s="635" t="s">
        <v>1589</v>
      </c>
      <c r="E65" s="1482">
        <f ca="1">+E60</f>
        <v>0</v>
      </c>
      <c r="F65" s="1483"/>
    </row>
    <row r="66" spans="1:7" ht="34" customHeight="1" thickBot="1" x14ac:dyDescent="0.4">
      <c r="A66" s="989"/>
      <c r="B66" s="989"/>
      <c r="C66" s="989"/>
      <c r="D66" s="1350" t="s">
        <v>1591</v>
      </c>
      <c r="E66" s="1577"/>
      <c r="F66" s="1484">
        <f ca="1">IFERROR(E66/$F$18,0)</f>
        <v>0</v>
      </c>
    </row>
    <row r="67" spans="1:7" ht="36" customHeight="1" thickBot="1" x14ac:dyDescent="0.4">
      <c r="A67" s="989"/>
      <c r="B67" s="989"/>
      <c r="C67" s="989"/>
      <c r="D67" s="1351" t="s">
        <v>1592</v>
      </c>
      <c r="E67" s="1352">
        <f>+E62</f>
        <v>0</v>
      </c>
      <c r="F67" s="1499">
        <f ca="1">IFERROR(E67/$F$18,0)</f>
        <v>0</v>
      </c>
    </row>
    <row r="68" spans="1:7" ht="15" thickBot="1" x14ac:dyDescent="0.4">
      <c r="A68" s="989"/>
      <c r="B68" s="989"/>
      <c r="C68" s="989"/>
      <c r="D68" s="989"/>
      <c r="E68" s="989"/>
      <c r="F68" s="989"/>
    </row>
    <row r="69" spans="1:7" x14ac:dyDescent="0.35">
      <c r="A69" s="989"/>
      <c r="B69" s="989"/>
      <c r="C69" s="1349"/>
      <c r="D69" s="1783" t="str">
        <f ca="1">IFERROR(IF(OR(E65&lt;0,F62&gt;MAX(E50:E51)),"ATTENZIONE: la combinazione di aiuti che hai indicato non è compatibile con la misura agevolativa. Ridefinisci gli importi richiesti.",""),"")</f>
        <v/>
      </c>
      <c r="E69" s="1784"/>
      <c r="F69" s="1785"/>
    </row>
    <row r="70" spans="1:7" ht="30.65" customHeight="1" thickBot="1" x14ac:dyDescent="0.4">
      <c r="A70" s="989"/>
      <c r="B70" s="989"/>
      <c r="C70" s="989"/>
      <c r="D70" s="1786"/>
      <c r="E70" s="1787"/>
      <c r="F70" s="1788"/>
    </row>
    <row r="71" spans="1:7" x14ac:dyDescent="0.35">
      <c r="A71" s="989"/>
      <c r="B71" s="989"/>
      <c r="C71" s="989"/>
      <c r="D71" s="989"/>
      <c r="E71" s="989"/>
      <c r="F71" s="989"/>
      <c r="G71" s="989"/>
    </row>
    <row r="72" spans="1:7" x14ac:dyDescent="0.35"/>
    <row r="73" spans="1:7" ht="87.65" customHeight="1" x14ac:dyDescent="0.35">
      <c r="A73" s="1762" t="s">
        <v>1642</v>
      </c>
      <c r="B73" s="1762"/>
      <c r="C73" s="1762"/>
      <c r="D73" s="1762"/>
      <c r="E73" s="1762"/>
      <c r="F73" s="1762"/>
    </row>
    <row r="74" spans="1:7" x14ac:dyDescent="0.35"/>
  </sheetData>
  <sheetProtection algorithmName="SHA-512" hashValue="jHz7SqLpiRgf4eFRXgYaGrlmnRpN5RKqj2cgoGg0iV7/so1ukRULk5TUVM+v+hrHuPLbh55HlXduajKeS9d4iw==" saltValue="7gzlxrO+PTps8y4mKS/9uA==" spinCount="100000" sheet="1" selectLockedCells="1"/>
  <protectedRanges>
    <protectedRange sqref="E66" name="FONDO PERDUTO_1_1"/>
  </protectedRanges>
  <mergeCells count="7">
    <mergeCell ref="A73:F73"/>
    <mergeCell ref="E5:F5"/>
    <mergeCell ref="D29:F29"/>
    <mergeCell ref="D34:F34"/>
    <mergeCell ref="D38:F38"/>
    <mergeCell ref="D69:F70"/>
    <mergeCell ref="D6:F6"/>
  </mergeCells>
  <dataValidations count="3">
    <dataValidation type="list" allowBlank="1" showInputMessage="1" showErrorMessage="1" sqref="E9" xr:uid="{A958B7B4-E064-4048-86FD-EDC13ACC23B4}">
      <formula1>"SI,NO"</formula1>
    </dataValidation>
    <dataValidation type="list" allowBlank="1" showInputMessage="1" showErrorMessage="1" sqref="E5" xr:uid="{5F25D99B-6829-4DBA-85D1-5A5E3FCEEF9E}">
      <formula1>"TEMPORARY FRAMEWORK,QUADRO TEMPORANEO UCRAINA"</formula1>
    </dataValidation>
    <dataValidation type="decimal" errorStyle="information" allowBlank="1" showInputMessage="1" showErrorMessage="1" errorTitle="AMMISSIBILITA' SPESA" error="ATTENZIONE: L'acquisto dell'immobile è una spesa ammissibile solo nei casi in cui l'impresa operi nel settore del turismo." sqref="E13" xr:uid="{BC4B1957-B7DB-420E-BF8A-C47C952E3FDE}">
      <formula1>0</formula1>
      <formula2>#REF!</formula2>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9506" r:id="rId4" name="Button 2">
              <controlPr defaultSize="0" print="0" autoFill="0" autoPict="0" macro="[0]!Torna">
                <anchor moveWithCells="1" sizeWithCells="1">
                  <from>
                    <xdr:col>0</xdr:col>
                    <xdr:colOff>12700</xdr:colOff>
                    <xdr:row>0</xdr:row>
                    <xdr:rowOff>0</xdr:rowOff>
                  </from>
                  <to>
                    <xdr:col>3</xdr:col>
                    <xdr:colOff>0</xdr:colOff>
                    <xdr:row>4</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E5A4B-9D58-4075-9AD3-7369B977BBDF}">
  <sheetPr codeName="Foglio14">
    <pageSetUpPr fitToPage="1"/>
  </sheetPr>
  <dimension ref="A1:AA51"/>
  <sheetViews>
    <sheetView showGridLines="0" showRowColHeaders="0" topLeftCell="A23" zoomScale="80" zoomScaleNormal="80" workbookViewId="0">
      <selection activeCell="C38" sqref="C38"/>
    </sheetView>
  </sheetViews>
  <sheetFormatPr defaultColWidth="75.54296875" defaultRowHeight="15" customHeight="1" zeroHeight="1" x14ac:dyDescent="0.35"/>
  <cols>
    <col min="1" max="1" width="50.453125" style="1404" customWidth="1"/>
    <col min="2" max="2" width="58.26953125" style="1404" customWidth="1"/>
    <col min="3" max="3" width="33" style="1404" customWidth="1"/>
    <col min="4" max="4" width="55" style="1404" customWidth="1"/>
    <col min="5" max="5" width="40.1796875" style="989" hidden="1" customWidth="1"/>
    <col min="6" max="6" width="17.26953125" style="989" hidden="1" customWidth="1"/>
    <col min="7" max="7" width="15.1796875" style="989" hidden="1" customWidth="1"/>
    <col min="8" max="8" width="13.7265625" style="989" hidden="1" customWidth="1"/>
    <col min="9" max="9" width="17.26953125" style="989" hidden="1" customWidth="1"/>
    <col min="10" max="10" width="19" style="989" hidden="1" customWidth="1"/>
    <col min="11" max="11" width="18.1796875" style="989" hidden="1" customWidth="1"/>
    <col min="12" max="12" width="13.54296875" style="989" hidden="1" customWidth="1"/>
    <col min="13" max="13" width="18.54296875" style="989" hidden="1" customWidth="1"/>
    <col min="14" max="14" width="17" style="989" hidden="1" customWidth="1"/>
    <col min="15" max="15" width="34.1796875" style="989" hidden="1" customWidth="1"/>
    <col min="16" max="16" width="30.54296875" style="989" hidden="1" customWidth="1"/>
    <col min="17" max="17" width="25.54296875" style="989" hidden="1" customWidth="1"/>
    <col min="18" max="21" width="75.54296875" style="989" hidden="1" customWidth="1"/>
    <col min="22" max="23" width="0" style="989" hidden="1" customWidth="1"/>
    <col min="24" max="27" width="75.54296875" style="989" hidden="1" customWidth="1"/>
    <col min="28" max="16384" width="75.54296875" style="989"/>
  </cols>
  <sheetData>
    <row r="1" spans="1:23" customFormat="1" ht="156.75" customHeight="1" thickBot="1" x14ac:dyDescent="0.4"/>
    <row r="2" spans="1:23" customFormat="1" ht="52.5" customHeight="1" thickBot="1" x14ac:dyDescent="0.4">
      <c r="B2" s="756" t="s">
        <v>1647</v>
      </c>
      <c r="C2" s="1578"/>
    </row>
    <row r="3" spans="1:23" customFormat="1" ht="27.65" customHeight="1" thickBot="1" x14ac:dyDescent="0.4"/>
    <row r="4" spans="1:23" customFormat="1" ht="37" customHeight="1" thickBot="1" x14ac:dyDescent="0.4">
      <c r="B4" s="756" t="s">
        <v>1650</v>
      </c>
      <c r="C4" s="1579"/>
      <c r="E4">
        <f>IF(C4="SI",10000000,0)</f>
        <v>0</v>
      </c>
    </row>
    <row r="5" spans="1:23" customFormat="1" ht="28" customHeight="1" thickBot="1" x14ac:dyDescent="0.4"/>
    <row r="6" spans="1:23" customFormat="1" ht="58.5" customHeight="1" thickBot="1" x14ac:dyDescent="0.4">
      <c r="B6" s="756" t="s">
        <v>1681</v>
      </c>
      <c r="C6" s="1579"/>
      <c r="T6" s="590" t="s">
        <v>1682</v>
      </c>
      <c r="U6" s="590" t="str">
        <f>+IF('ON ANAGRAFICA'!B8="MEDIA","Me","MP")</f>
        <v>MP</v>
      </c>
    </row>
    <row r="7" spans="1:23" customFormat="1" ht="14.5" x14ac:dyDescent="0.35">
      <c r="G7" s="989"/>
      <c r="H7" s="989"/>
      <c r="T7" s="590" t="s">
        <v>1683</v>
      </c>
      <c r="U7" s="590" t="str">
        <f>+'ON ANAGRAFICA'!I8</f>
        <v>FALSO</v>
      </c>
    </row>
    <row r="8" spans="1:23" customFormat="1" ht="69.650000000000006" hidden="1" customHeight="1" thickTop="1" thickBot="1" x14ac:dyDescent="0.4">
      <c r="B8" s="1418" t="s">
        <v>1564</v>
      </c>
      <c r="C8" s="1419" t="s">
        <v>1565</v>
      </c>
      <c r="D8" s="1418" t="s">
        <v>1566</v>
      </c>
      <c r="E8" s="1415" t="s">
        <v>1684</v>
      </c>
      <c r="G8" s="590" t="s">
        <v>1685</v>
      </c>
      <c r="H8" s="590">
        <f>+IF(C2="GBER",1,0)</f>
        <v>0</v>
      </c>
      <c r="N8" t="s">
        <v>1593</v>
      </c>
      <c r="O8" t="s">
        <v>392</v>
      </c>
      <c r="Q8" s="590" t="s">
        <v>1686</v>
      </c>
    </row>
    <row r="9" spans="1:23" customFormat="1" ht="22" hidden="1" customHeight="1" thickTop="1" x14ac:dyDescent="0.35">
      <c r="A9" s="1403" t="s">
        <v>1687</v>
      </c>
      <c r="B9" s="1408" t="s">
        <v>579</v>
      </c>
      <c r="C9" s="1421">
        <f>+' Ucraina'!E13</f>
        <v>0</v>
      </c>
      <c r="D9" s="1385">
        <f ca="1">+' Ucraina'!F13</f>
        <v>0</v>
      </c>
      <c r="E9" s="1416">
        <f>+' Ucraina'!G13</f>
        <v>0.5</v>
      </c>
      <c r="F9" s="110" t="s">
        <v>1688</v>
      </c>
      <c r="G9" s="1428">
        <f ca="1">+G10</f>
        <v>0</v>
      </c>
      <c r="H9" s="1429" t="s">
        <v>1689</v>
      </c>
      <c r="N9" s="1403" t="s">
        <v>1690</v>
      </c>
      <c r="O9" s="1405">
        <v>2500000</v>
      </c>
      <c r="Q9" s="590"/>
      <c r="S9" s="590"/>
      <c r="T9" s="1808" t="s">
        <v>1656</v>
      </c>
      <c r="U9" s="1808"/>
      <c r="V9" s="1808"/>
      <c r="W9" s="590"/>
    </row>
    <row r="10" spans="1:23" customFormat="1" ht="41.15" hidden="1" customHeight="1" x14ac:dyDescent="0.35">
      <c r="A10" s="989"/>
      <c r="B10" s="1408" t="s">
        <v>578</v>
      </c>
      <c r="C10" s="1421">
        <f>+' Ucraina'!E14</f>
        <v>0</v>
      </c>
      <c r="D10" s="1385">
        <f>+' Ucraina'!F14</f>
        <v>0</v>
      </c>
      <c r="E10" s="1416">
        <f>+' Ucraina'!G14</f>
        <v>1</v>
      </c>
      <c r="F10" t="s">
        <v>1691</v>
      </c>
      <c r="G10" s="1428">
        <f ca="1">IF(+C14&gt;O9,"ATTENZIONE: Le spese d'investimento e di gestione ipotizzate superano il limite di € 2.500.000 stabilito dalla …",D14)</f>
        <v>0</v>
      </c>
      <c r="H10" s="1429" t="s">
        <v>1692</v>
      </c>
      <c r="M10" s="1426" t="s">
        <v>1693</v>
      </c>
      <c r="N10" s="1403" t="s">
        <v>1694</v>
      </c>
      <c r="O10" s="1403">
        <f>+IF(C4="NO",O12,0)</f>
        <v>0</v>
      </c>
      <c r="P10" s="1403" t="s">
        <v>1695</v>
      </c>
      <c r="Q10" s="1359">
        <f>+IF(C4="NO",Q12,0)</f>
        <v>0</v>
      </c>
      <c r="S10" s="590"/>
      <c r="T10" s="1458" t="s">
        <v>1655</v>
      </c>
      <c r="U10" s="1458" t="s">
        <v>1657</v>
      </c>
      <c r="V10" s="1458" t="s">
        <v>1658</v>
      </c>
      <c r="W10" s="590"/>
    </row>
    <row r="11" spans="1:23" customFormat="1" ht="34.5" hidden="1" customHeight="1" x14ac:dyDescent="0.35">
      <c r="A11" s="989"/>
      <c r="B11" s="1409" t="s">
        <v>585</v>
      </c>
      <c r="C11" s="1421">
        <f>+' Ucraina'!E15</f>
        <v>0</v>
      </c>
      <c r="D11" s="1385">
        <f>+' Ucraina'!F15</f>
        <v>0</v>
      </c>
      <c r="E11" s="1416">
        <f>+' Ucraina'!G15</f>
        <v>1</v>
      </c>
      <c r="N11" s="1403" t="s">
        <v>448</v>
      </c>
      <c r="O11" s="1403">
        <f>+IF(C4="SI",0.2,0.15)</f>
        <v>0.15</v>
      </c>
      <c r="P11" s="1403" t="s">
        <v>1696</v>
      </c>
      <c r="Q11" s="1359">
        <f>+MAX(W24:W25)</f>
        <v>0.3</v>
      </c>
      <c r="S11" s="1459" t="s">
        <v>1659</v>
      </c>
      <c r="T11" s="1458">
        <f>IF(U6="MP",1,0)</f>
        <v>1</v>
      </c>
      <c r="U11" s="1458">
        <f>IF(U7,1,0)</f>
        <v>0</v>
      </c>
      <c r="V11" s="1458">
        <f>IF(C4="SI",1,0)</f>
        <v>0</v>
      </c>
      <c r="W11" s="590"/>
    </row>
    <row r="12" spans="1:23" customFormat="1" ht="22" hidden="1" customHeight="1" x14ac:dyDescent="0.35">
      <c r="A12" s="989"/>
      <c r="B12" s="1408" t="s">
        <v>592</v>
      </c>
      <c r="C12" s="1421">
        <f>+' Ucraina'!E16</f>
        <v>0</v>
      </c>
      <c r="D12" s="1385">
        <f>+' Ucraina'!F16</f>
        <v>0</v>
      </c>
      <c r="E12" s="1416">
        <f>+' Ucraina'!G16</f>
        <v>1</v>
      </c>
      <c r="N12" s="1403" t="s">
        <v>1697</v>
      </c>
      <c r="O12" s="1403" cm="1">
        <f t="array" ref="O12">+IF(IFERROR(+LOOKUP(1,1/('ON ANAGRAFICA'!C13:C16="SI")),2)=1,0.9,0.8)</f>
        <v>0.8</v>
      </c>
      <c r="P12" s="1403" t="s">
        <v>1698</v>
      </c>
      <c r="Q12" s="1359">
        <f>+O12</f>
        <v>0.8</v>
      </c>
      <c r="S12" s="1458" t="s">
        <v>260</v>
      </c>
      <c r="T12" s="1458">
        <f>IF(T11=1,0,1)</f>
        <v>0</v>
      </c>
      <c r="U12" s="1458">
        <f>+U11</f>
        <v>0</v>
      </c>
      <c r="V12" s="1458">
        <f>+V11</f>
        <v>0</v>
      </c>
      <c r="W12" s="590"/>
    </row>
    <row r="13" spans="1:23" customFormat="1" ht="22" hidden="1" customHeight="1" thickBot="1" x14ac:dyDescent="0.4">
      <c r="A13" s="989"/>
      <c r="B13" s="1410" t="s">
        <v>597</v>
      </c>
      <c r="C13" s="1422">
        <f>+' Ucraina'!E17</f>
        <v>0</v>
      </c>
      <c r="D13" s="1385">
        <f ca="1">+' Ucraina'!F17</f>
        <v>0</v>
      </c>
      <c r="E13" s="1416">
        <f>+' Ucraina'!G17</f>
        <v>0.15</v>
      </c>
      <c r="N13" s="1403" t="s">
        <v>1699</v>
      </c>
      <c r="O13" s="1403">
        <f>+IF('ON ANAGRAFICA'!B8="Media",0.1,0.2)</f>
        <v>0.2</v>
      </c>
      <c r="P13" s="1403" t="s">
        <v>1700</v>
      </c>
      <c r="Q13" s="1359">
        <f>+IF(U6="MP",0.15+T29+T31,0.15+T30+T31)</f>
        <v>0.35</v>
      </c>
      <c r="S13" s="590"/>
      <c r="T13" s="590"/>
      <c r="U13" s="590"/>
      <c r="V13" s="590"/>
      <c r="W13" s="590"/>
    </row>
    <row r="14" spans="1:23" customFormat="1" ht="15.5" hidden="1" thickTop="1" thickBot="1" x14ac:dyDescent="0.4">
      <c r="B14" s="1420" t="s">
        <v>1570</v>
      </c>
      <c r="C14" s="1392">
        <f>+' Ucraina'!E18</f>
        <v>0</v>
      </c>
      <c r="D14" s="1392">
        <f ca="1">+' Ucraina'!F18</f>
        <v>0</v>
      </c>
      <c r="E14" s="1417">
        <f>+' Ucraina'!G18</f>
        <v>1</v>
      </c>
      <c r="N14" s="989"/>
      <c r="O14" s="989"/>
      <c r="P14" s="989"/>
      <c r="S14" s="590"/>
      <c r="T14" s="1808" t="s">
        <v>1661</v>
      </c>
      <c r="U14" s="1808"/>
      <c r="V14" s="1808"/>
      <c r="W14" s="590"/>
    </row>
    <row r="15" spans="1:23" customFormat="1" ht="13.5" hidden="1" customHeight="1" thickTop="1" thickBot="1" x14ac:dyDescent="0.4">
      <c r="B15" s="758"/>
      <c r="C15" s="759"/>
      <c r="D15" s="759"/>
      <c r="S15" s="590"/>
      <c r="T15" s="1458" t="s">
        <v>1662</v>
      </c>
      <c r="U15" s="1458" t="s">
        <v>1663</v>
      </c>
      <c r="V15" s="1458" t="s">
        <v>1664</v>
      </c>
      <c r="W15" s="590"/>
    </row>
    <row r="16" spans="1:23" customFormat="1" ht="20.5" hidden="1" customHeight="1" thickBot="1" x14ac:dyDescent="0.4">
      <c r="A16" s="590" t="s">
        <v>1701</v>
      </c>
      <c r="B16" s="1798" t="str">
        <f>IF(+C14&gt;O9,"ATTENZIONE: Le spese d'investimento e di gestione ipotizzate superano il limite di € 3.000.000 stabilito dalla Circolare 08 aprile 2021, n. 117378","")</f>
        <v/>
      </c>
      <c r="C16" s="1798"/>
      <c r="D16" s="1798"/>
      <c r="G16" s="315"/>
      <c r="I16" s="1809" t="s">
        <v>1702</v>
      </c>
      <c r="J16" s="1810"/>
      <c r="K16" s="1811"/>
      <c r="S16" s="590"/>
      <c r="T16" s="1458" t="s">
        <v>1659</v>
      </c>
      <c r="U16" s="1458">
        <v>0.3</v>
      </c>
      <c r="V16" s="1458">
        <v>0.35</v>
      </c>
      <c r="W16" s="590"/>
    </row>
    <row r="17" spans="2:23" customFormat="1" ht="70" customHeight="1" x14ac:dyDescent="0.35">
      <c r="B17" s="760"/>
      <c r="C17" s="760"/>
      <c r="D17" s="1608"/>
      <c r="E17" s="1359" t="s">
        <v>1703</v>
      </c>
      <c r="F17" s="590" t="s">
        <v>1704</v>
      </c>
      <c r="G17" s="315"/>
      <c r="S17" s="590"/>
      <c r="T17" s="1458" t="s">
        <v>260</v>
      </c>
      <c r="U17" s="1458">
        <v>0.2</v>
      </c>
      <c r="V17" s="1458">
        <v>0.25</v>
      </c>
      <c r="W17" s="590"/>
    </row>
    <row r="18" spans="2:23" customFormat="1" ht="35.15" customHeight="1" thickBot="1" x14ac:dyDescent="0.4">
      <c r="B18" s="1799" t="s">
        <v>1705</v>
      </c>
      <c r="C18" s="1800"/>
      <c r="D18" s="1807" t="s">
        <v>1706</v>
      </c>
      <c r="E18" s="1491">
        <f>IF(AND(C6="si",E21&gt;=7),0.006,0)</f>
        <v>0</v>
      </c>
      <c r="F18" s="1485">
        <f ca="1">IF(AND(SUM(C37:C40)&gt;=250000,E21&gt;=7,C6="no"),0.0075,0)</f>
        <v>0</v>
      </c>
      <c r="G18" s="1485">
        <f ca="1">IF(AND(SUM(C37:C40)&lt;250000,E21&gt;=7,C6="no"),0.01,0)</f>
        <v>0</v>
      </c>
      <c r="S18" s="590"/>
      <c r="T18" s="1808" t="s">
        <v>1665</v>
      </c>
      <c r="U18" s="1808"/>
      <c r="V18" s="1808"/>
      <c r="W18" s="590"/>
    </row>
    <row r="19" spans="2:23" customFormat="1" ht="35.15" customHeight="1" thickBot="1" x14ac:dyDescent="0.4">
      <c r="B19" s="756" t="s">
        <v>1707</v>
      </c>
      <c r="C19" s="1580"/>
      <c r="D19" s="1807"/>
      <c r="E19" s="1491">
        <f>IF(AND(C6="si",E21&lt;7),0.0075,0)</f>
        <v>0</v>
      </c>
      <c r="F19" s="1485">
        <f ca="1">IF(C6="si",0,IF(AND(SUM(C37:C40)&gt;=250000,E21&lt;7),0.01,0))</f>
        <v>0</v>
      </c>
      <c r="G19" s="1485">
        <f ca="1">IF(C6="si",0,IF(AND(SUM(C37:C40)&lt;250000,E21=7),0.022,0))</f>
        <v>0</v>
      </c>
      <c r="N19" t="s">
        <v>1708</v>
      </c>
      <c r="O19">
        <v>5</v>
      </c>
      <c r="S19" s="590"/>
      <c r="T19" s="1458" t="s">
        <v>1662</v>
      </c>
      <c r="U19" s="1458" t="s">
        <v>1663</v>
      </c>
      <c r="V19" s="1458" t="s">
        <v>1664</v>
      </c>
      <c r="W19" s="590"/>
    </row>
    <row r="20" spans="2:23" customFormat="1" ht="22.5" customHeight="1" x14ac:dyDescent="0.35">
      <c r="D20" s="1493">
        <f ca="1">MAX(E18:G19)</f>
        <v>0</v>
      </c>
      <c r="E20" s="1492" t="s">
        <v>1709</v>
      </c>
      <c r="G20" s="315"/>
      <c r="S20" s="590"/>
      <c r="T20" s="1458" t="s">
        <v>1659</v>
      </c>
      <c r="U20" s="1458">
        <v>0.45</v>
      </c>
      <c r="V20" s="1458">
        <v>0.5</v>
      </c>
      <c r="W20" s="590"/>
    </row>
    <row r="21" spans="2:23" customFormat="1" ht="28" customHeight="1" thickBot="1" x14ac:dyDescent="0.4">
      <c r="C21" s="1494" t="s">
        <v>1710</v>
      </c>
      <c r="D21" s="1493">
        <f ca="1">+D20</f>
        <v>0</v>
      </c>
      <c r="E21" s="1492">
        <v>6</v>
      </c>
      <c r="F21" t="s">
        <v>1711</v>
      </c>
      <c r="G21" s="761"/>
      <c r="S21" s="590"/>
      <c r="T21" s="1458" t="s">
        <v>260</v>
      </c>
      <c r="U21" s="1458">
        <v>0.35</v>
      </c>
      <c r="V21" s="1458">
        <v>0.4</v>
      </c>
      <c r="W21" s="590"/>
    </row>
    <row r="22" spans="2:23" customFormat="1" ht="38.15" customHeight="1" thickBot="1" x14ac:dyDescent="0.4">
      <c r="B22" s="1801" t="s">
        <v>1712</v>
      </c>
      <c r="C22" s="1802"/>
      <c r="D22" s="1803"/>
      <c r="G22" s="315"/>
      <c r="S22" s="590"/>
      <c r="T22" s="590"/>
      <c r="U22" s="590"/>
      <c r="V22" s="590"/>
      <c r="W22" s="590"/>
    </row>
    <row r="23" spans="2:23" customFormat="1" thickBot="1" x14ac:dyDescent="0.4">
      <c r="B23" s="762" t="s">
        <v>469</v>
      </c>
      <c r="C23" s="762" t="s">
        <v>1713</v>
      </c>
      <c r="D23" s="762" t="s">
        <v>1714</v>
      </c>
      <c r="G23" s="761"/>
      <c r="H23" s="763" t="s">
        <v>1715</v>
      </c>
      <c r="I23" s="763" t="s">
        <v>1716</v>
      </c>
      <c r="J23" s="763" t="s">
        <v>1717</v>
      </c>
      <c r="K23" s="763" t="s">
        <v>1718</v>
      </c>
      <c r="L23" s="763" t="s">
        <v>1719</v>
      </c>
      <c r="S23" s="590"/>
      <c r="T23" s="590" t="s">
        <v>1655</v>
      </c>
      <c r="U23" s="1458" t="s">
        <v>1666</v>
      </c>
      <c r="V23" s="1458" t="s">
        <v>1667</v>
      </c>
      <c r="W23" s="590"/>
    </row>
    <row r="24" spans="2:23" customFormat="1" ht="18" customHeight="1" x14ac:dyDescent="0.35">
      <c r="B24" s="1804" t="s">
        <v>1720</v>
      </c>
      <c r="C24" s="764" t="s">
        <v>1721</v>
      </c>
      <c r="D24" s="1581"/>
      <c r="F24" s="765" t="str">
        <f>IF(D24&lt;&gt;0,43831,"A")</f>
        <v>A</v>
      </c>
      <c r="G24" s="766">
        <f>D24</f>
        <v>0</v>
      </c>
      <c r="H24" s="767">
        <f>MIN(F24:F31)</f>
        <v>0</v>
      </c>
      <c r="I24" s="768">
        <f>IFERROR(VLOOKUP(H24,$F$24:$G$31,2),0)</f>
        <v>0</v>
      </c>
      <c r="J24" s="1475">
        <f ca="1">$G$9*I24*(IF($H$8=0,$Q$11,$O$11))</f>
        <v>0</v>
      </c>
      <c r="K24" s="1475">
        <f ca="1">$G$10*I24*(IF($H$8=0,$Q$10,$O$10))</f>
        <v>0</v>
      </c>
      <c r="L24" s="769">
        <f ca="1">$G$10*I24</f>
        <v>0</v>
      </c>
      <c r="S24" s="590"/>
      <c r="T24" s="590">
        <f>+T11</f>
        <v>1</v>
      </c>
      <c r="U24" s="590">
        <f>IF(U11=0,U16,U20)</f>
        <v>0.3</v>
      </c>
      <c r="V24" s="590">
        <f>IF(U11=0,V16,V20)</f>
        <v>0.35</v>
      </c>
      <c r="W24" s="590">
        <f>+T24*IF(V11=0,U24,V24)</f>
        <v>0.3</v>
      </c>
    </row>
    <row r="25" spans="2:23" customFormat="1" ht="18" customHeight="1" x14ac:dyDescent="0.35">
      <c r="B25" s="1805"/>
      <c r="C25" s="770" t="s">
        <v>1722</v>
      </c>
      <c r="D25" s="1582"/>
      <c r="F25" s="765" t="str">
        <f>IF(D25&lt;&gt;0,43922,"A")</f>
        <v>A</v>
      </c>
      <c r="G25" s="766">
        <f t="shared" ref="G25:G31" si="0">D25</f>
        <v>0</v>
      </c>
      <c r="H25" s="771" t="str">
        <f>IFERROR(SMALL(F24:F31,2),"")</f>
        <v/>
      </c>
      <c r="I25" s="772">
        <f>IFERROR(VLOOKUP(H25,$F$24:$G$31,2),0)</f>
        <v>0</v>
      </c>
      <c r="J25" s="1476">
        <f t="shared" ref="J25:J27" ca="1" si="1">$G$9*I25*(IF($H$8=0,$Q$11,$O$11))</f>
        <v>0</v>
      </c>
      <c r="K25" s="1476">
        <f t="shared" ref="K25:K27" ca="1" si="2">$G$10*I25*(IF($H$8=0,$Q$10,$O$10))</f>
        <v>0</v>
      </c>
      <c r="L25" s="773">
        <f ca="1">$G$10*I25</f>
        <v>0</v>
      </c>
      <c r="S25" s="590"/>
      <c r="T25" s="590">
        <f>+T12</f>
        <v>0</v>
      </c>
      <c r="U25" s="590">
        <f>IF(U12=0,U17,U21)</f>
        <v>0.2</v>
      </c>
      <c r="V25" s="590">
        <f>IF(U12=0,V17,V21)</f>
        <v>0.25</v>
      </c>
      <c r="W25" s="590">
        <f>+T25*IF(V12=0,U25,V25)</f>
        <v>0</v>
      </c>
    </row>
    <row r="26" spans="2:23" customFormat="1" ht="18" customHeight="1" x14ac:dyDescent="0.35">
      <c r="B26" s="1805"/>
      <c r="C26" s="770" t="s">
        <v>1723</v>
      </c>
      <c r="D26" s="1582"/>
      <c r="F26" s="765" t="str">
        <f>IF(D26&lt;&gt;0,44013,"A")</f>
        <v>A</v>
      </c>
      <c r="G26" s="766">
        <f t="shared" si="0"/>
        <v>0</v>
      </c>
      <c r="H26" s="771" t="str">
        <f>IFERROR(SMALL(F24:F31,3),"")</f>
        <v/>
      </c>
      <c r="I26" s="772">
        <f>IFERROR(VLOOKUP(H26,$F$24:$G$31,2),0)</f>
        <v>0</v>
      </c>
      <c r="J26" s="1476">
        <f t="shared" ca="1" si="1"/>
        <v>0</v>
      </c>
      <c r="K26" s="1476">
        <f t="shared" ca="1" si="2"/>
        <v>0</v>
      </c>
      <c r="L26" s="773">
        <f ca="1">$G$10*I26</f>
        <v>0</v>
      </c>
    </row>
    <row r="27" spans="2:23" customFormat="1" ht="18" customHeight="1" thickBot="1" x14ac:dyDescent="0.4">
      <c r="B27" s="1806"/>
      <c r="C27" s="774" t="s">
        <v>1724</v>
      </c>
      <c r="D27" s="1583"/>
      <c r="F27" s="765" t="str">
        <f>IF(D27&lt;&gt;0,44105,"A")</f>
        <v>A</v>
      </c>
      <c r="G27" s="766">
        <f t="shared" si="0"/>
        <v>0</v>
      </c>
      <c r="H27" s="771" t="str">
        <f>IFERROR(SMALL(F24:F31,4),"")</f>
        <v/>
      </c>
      <c r="I27" s="772">
        <f>IFERROR(VLOOKUP(H27,$F$24:$G$31,2),0)</f>
        <v>0</v>
      </c>
      <c r="J27" s="1476">
        <f t="shared" ca="1" si="1"/>
        <v>0</v>
      </c>
      <c r="K27" s="1476">
        <f t="shared" ca="1" si="2"/>
        <v>0</v>
      </c>
      <c r="L27" s="773">
        <f ca="1">$G$10*I27</f>
        <v>0</v>
      </c>
    </row>
    <row r="28" spans="2:23" customFormat="1" ht="18" customHeight="1" thickBot="1" x14ac:dyDescent="0.4">
      <c r="B28" s="1804" t="s">
        <v>1725</v>
      </c>
      <c r="C28" s="775" t="s">
        <v>1721</v>
      </c>
      <c r="D28" s="1584"/>
      <c r="F28" s="765" t="str">
        <f>IF(D28&lt;&gt;0,44197,"A")</f>
        <v>A</v>
      </c>
      <c r="G28" s="766">
        <f t="shared" si="0"/>
        <v>0</v>
      </c>
      <c r="H28" s="776" t="str">
        <f>IFERROR(SMALL(F24:F31,5),"")</f>
        <v/>
      </c>
      <c r="I28" s="777">
        <f>IFERROR(VLOOKUP(H28,$F$24:$G$31,2),0)</f>
        <v>0</v>
      </c>
      <c r="J28" s="1477">
        <f ca="1">$G$9*I28*(IF($H$8=0,$Q$11,$O$11))</f>
        <v>0</v>
      </c>
      <c r="K28" s="1477">
        <f ca="1">$G$10*I28*(IF($H$8=0,$Q$10,$O$10))</f>
        <v>0</v>
      </c>
      <c r="L28" s="778">
        <f ca="1">$G$10*I28</f>
        <v>0</v>
      </c>
      <c r="Q28" s="1329">
        <f ca="1">+M31*P30</f>
        <v>0</v>
      </c>
      <c r="S28" s="590" t="s">
        <v>1726</v>
      </c>
    </row>
    <row r="29" spans="2:23" customFormat="1" ht="18" customHeight="1" x14ac:dyDescent="0.35">
      <c r="B29" s="1805"/>
      <c r="C29" s="770" t="s">
        <v>1722</v>
      </c>
      <c r="D29" s="1582"/>
      <c r="F29" s="765" t="str">
        <f>IF(D29&lt;&gt;0,44287,"A")</f>
        <v>A</v>
      </c>
      <c r="G29" s="766">
        <f t="shared" si="0"/>
        <v>0</v>
      </c>
      <c r="O29" s="1427" t="s">
        <v>1727</v>
      </c>
      <c r="Q29" s="1329">
        <f ca="1">+Q30*0.8</f>
        <v>0</v>
      </c>
      <c r="S29" s="590" t="s">
        <v>1728</v>
      </c>
      <c r="T29" s="590">
        <v>0.2</v>
      </c>
    </row>
    <row r="30" spans="2:23" customFormat="1" ht="18" customHeight="1" x14ac:dyDescent="0.35">
      <c r="B30" s="1805"/>
      <c r="C30" s="770" t="s">
        <v>1723</v>
      </c>
      <c r="D30" s="1582"/>
      <c r="F30" s="765" t="str">
        <f>IF(D30&lt;&gt;0,44378,"A")</f>
        <v>A</v>
      </c>
      <c r="G30" s="766">
        <f t="shared" si="0"/>
        <v>0</v>
      </c>
      <c r="L30" t="s">
        <v>1729</v>
      </c>
      <c r="M30" t="s">
        <v>1730</v>
      </c>
      <c r="O30" t="s">
        <v>1731</v>
      </c>
      <c r="P30" s="1473">
        <f ca="1">+G10*IF(H8=1,O10,Q10)</f>
        <v>0</v>
      </c>
      <c r="Q30" s="1329">
        <f ca="1">+M31*G10</f>
        <v>0</v>
      </c>
      <c r="S30" s="590" t="s">
        <v>1732</v>
      </c>
      <c r="T30" s="1474">
        <v>0.1</v>
      </c>
    </row>
    <row r="31" spans="2:23" customFormat="1" ht="18" customHeight="1" thickBot="1" x14ac:dyDescent="0.4">
      <c r="B31" s="1806"/>
      <c r="C31" s="774" t="s">
        <v>1724</v>
      </c>
      <c r="D31" s="1583"/>
      <c r="F31" s="765" t="str">
        <f>IF(D31&lt;&gt;0,44470,"A")</f>
        <v>A</v>
      </c>
      <c r="G31" s="766">
        <f t="shared" si="0"/>
        <v>0</v>
      </c>
      <c r="J31" s="1812" t="s">
        <v>1733</v>
      </c>
      <c r="K31" t="s">
        <v>1734</v>
      </c>
      <c r="L31" s="1431" t="e">
        <f ca="1">ESL_V2!G4</f>
        <v>#DIV/0!</v>
      </c>
      <c r="M31" s="1472">
        <f ca="1">+IFERROR(IF(H8=1,O10*(O13/L31),Q10*(Q13/L31)),0)</f>
        <v>0</v>
      </c>
      <c r="O31" t="s">
        <v>1676</v>
      </c>
      <c r="P31" s="989"/>
      <c r="S31" s="590" t="s">
        <v>1735</v>
      </c>
      <c r="T31" s="590">
        <f>+IF(U7,0.15,0)</f>
        <v>0</v>
      </c>
    </row>
    <row r="32" spans="2:23" customFormat="1" ht="16" thickBot="1" x14ac:dyDescent="0.4">
      <c r="C32" s="1495" t="s">
        <v>1736</v>
      </c>
      <c r="D32" s="1496">
        <f>SUM(D24:D31)</f>
        <v>0</v>
      </c>
      <c r="F32" t="s">
        <v>1737</v>
      </c>
      <c r="G32" s="766">
        <f>SUM(D24:D31)</f>
        <v>0</v>
      </c>
      <c r="H32" s="780" t="str">
        <f>IF(G32&gt;1,"hai previsto di rendicontare più del 100% dell'investimento","")</f>
        <v/>
      </c>
      <c r="J32" s="1812"/>
      <c r="K32" t="s">
        <v>1738</v>
      </c>
      <c r="L32" s="1430" t="e">
        <f ca="1">'ESL_V2 (2)'!G4</f>
        <v>#DIV/0!</v>
      </c>
      <c r="M32" s="1472" t="e">
        <f ca="1">+IF(H8=1,O11*(O13/L32),Q11*(Q13/L32))</f>
        <v>#DIV/0!</v>
      </c>
      <c r="O32" t="s">
        <v>1739</v>
      </c>
      <c r="P32" s="1473">
        <f ca="1">IF(H8=1,+O11*G10,Q11*G10)</f>
        <v>0</v>
      </c>
      <c r="Q32" s="590" t="s">
        <v>1740</v>
      </c>
    </row>
    <row r="33" spans="1:15" customFormat="1" ht="38.5" customHeight="1" thickBot="1" x14ac:dyDescent="0.4">
      <c r="B33" s="1792" t="str">
        <f>IF(AND(G32&lt;1,G33&lt;5),CONCATENATE("Devi ancora indicare come pensi di rendicontare il ",(1-D32)*100,"% dell'investimento"),IF(AND(H32&lt;&gt;"",H33&lt;&gt;""),CONCATENATE("ATTENZIONE: ",H32," e ",H33),IF(OR(H32&lt;&gt;"",H33&lt;&gt;""),CONCATENATE("ATTENZIONE: ",H32,H33),"")))</f>
        <v>Devi ancora indicare come pensi di rendicontare il 100% dell'investimento</v>
      </c>
      <c r="C33" s="1793"/>
      <c r="D33" s="1764"/>
      <c r="E33" s="1423" t="s">
        <v>1741</v>
      </c>
      <c r="F33" t="s">
        <v>1742</v>
      </c>
      <c r="G33">
        <f>COUNTIF(D24:D31,"&gt;0")</f>
        <v>0</v>
      </c>
      <c r="H33" s="780" t="str">
        <f>IF(G33&gt;O19,"hai previsto di effettuare più di 5 SAL","")</f>
        <v/>
      </c>
      <c r="L33" t="e">
        <f ca="1">SUM(L31:L32)</f>
        <v>#DIV/0!</v>
      </c>
      <c r="O33" t="s">
        <v>1679</v>
      </c>
    </row>
    <row r="34" spans="1:15" customFormat="1" ht="14.5" x14ac:dyDescent="0.35">
      <c r="F34" t="s">
        <v>1743</v>
      </c>
      <c r="G34">
        <f>COUNTIF(D24:D31,"&lt;0")</f>
        <v>0</v>
      </c>
    </row>
    <row r="35" spans="1:15" customFormat="1" ht="14.5" x14ac:dyDescent="0.35"/>
    <row r="36" spans="1:15" customFormat="1" ht="34" customHeight="1" thickBot="1" x14ac:dyDescent="0.4">
      <c r="B36" s="318"/>
      <c r="C36" s="1615" t="s">
        <v>1577</v>
      </c>
      <c r="D36" s="1615" t="s">
        <v>1744</v>
      </c>
      <c r="E36" t="s">
        <v>1745</v>
      </c>
      <c r="F36" t="s">
        <v>1579</v>
      </c>
      <c r="G36" t="s">
        <v>1746</v>
      </c>
      <c r="H36" t="str">
        <f>+_xlfn.CONCAT("ESL SU ",IF(H8=0,Q13,O13),"=100")</f>
        <v>ESL SU 0,35=100</v>
      </c>
      <c r="I36" t="s">
        <v>1747</v>
      </c>
      <c r="J36" t="s">
        <v>1748</v>
      </c>
      <c r="K36" t="s">
        <v>1749</v>
      </c>
    </row>
    <row r="37" spans="1:15" customFormat="1" ht="24" customHeight="1" x14ac:dyDescent="0.35">
      <c r="A37" s="779"/>
      <c r="B37" s="781" t="s">
        <v>1731</v>
      </c>
      <c r="C37" s="1610">
        <f ca="1">IFERROR(MIN(I37:K37),"")</f>
        <v>0</v>
      </c>
      <c r="D37" s="1614"/>
      <c r="E37" s="1616">
        <f ca="1">+ESL_V2!D4</f>
        <v>0</v>
      </c>
      <c r="F37" s="264">
        <f ca="1">P30</f>
        <v>0</v>
      </c>
      <c r="G37" s="1462">
        <f ca="1">IFERROR((C38/P30)*L31,0)</f>
        <v>0</v>
      </c>
      <c r="H37" s="590">
        <f ca="1">IF(H8=1,G37/$O$13,G37/$Q$13)</f>
        <v>0</v>
      </c>
      <c r="I37" s="264">
        <f ca="1">ROUND(F37-C38,2)</f>
        <v>0</v>
      </c>
      <c r="J37" s="1222">
        <f ca="1">ROUND((G10*IF(H8=1,O12,Q12))-C38-C40,2)</f>
        <v>0</v>
      </c>
      <c r="K37" s="1222">
        <f ca="1">IFERROR(ROUND(((IF(H8=1,O13,Q13)-G37-G38)/L31)*F37,2),0)</f>
        <v>0</v>
      </c>
      <c r="M37" s="1329"/>
    </row>
    <row r="38" spans="1:15" customFormat="1" ht="24" customHeight="1" thickBot="1" x14ac:dyDescent="0.4">
      <c r="B38" s="781" t="s">
        <v>1676</v>
      </c>
      <c r="C38" s="1609"/>
      <c r="D38" s="782" t="str">
        <f ca="1">IFERROR(C38/G10,"")</f>
        <v/>
      </c>
      <c r="E38" s="1616">
        <f ca="1">+'ESL_V2 (2)'!D7</f>
        <v>0</v>
      </c>
      <c r="F38" s="264">
        <f ca="1">P32</f>
        <v>0</v>
      </c>
      <c r="G38" s="1478" t="e">
        <f ca="1">(C40/P32)*L32</f>
        <v>#DIV/0!</v>
      </c>
      <c r="H38" s="590" t="e">
        <f ca="1">IF(H8=1,G38/$O$13,G38/$Q$13)</f>
        <v>#DIV/0!</v>
      </c>
      <c r="I38" s="264">
        <f ca="1">ROUND(F38-C40,2)</f>
        <v>0</v>
      </c>
      <c r="J38" s="1222">
        <f ca="1">ROUND((G10*IF(H8=1,O12,Q12))-C38-C40,2)</f>
        <v>0</v>
      </c>
      <c r="K38" s="1222" t="e">
        <f ca="1">ROUND(((IF(H8=1,O13,Q13)-G37-G38)/L32)*F38,2)</f>
        <v>#DIV/0!</v>
      </c>
    </row>
    <row r="39" spans="1:15" customFormat="1" ht="24" customHeight="1" thickBot="1" x14ac:dyDescent="0.4">
      <c r="A39" s="779"/>
      <c r="B39" s="781" t="s">
        <v>1739</v>
      </c>
      <c r="C39" s="1610" t="str">
        <f ca="1">IFERROR(MIN(I38:K38),"")</f>
        <v/>
      </c>
      <c r="D39" s="782"/>
      <c r="F39" s="763" t="s">
        <v>1750</v>
      </c>
      <c r="G39" s="1479" t="e">
        <f ca="1">SUM(G37:G38)</f>
        <v>#DIV/0!</v>
      </c>
      <c r="H39" t="e">
        <f ca="1">SUM(H37:H38)</f>
        <v>#DIV/0!</v>
      </c>
      <c r="N39" t="s">
        <v>1751</v>
      </c>
    </row>
    <row r="40" spans="1:15" customFormat="1" ht="45" customHeight="1" thickBot="1" x14ac:dyDescent="0.4">
      <c r="A40" s="1329"/>
      <c r="B40" s="1497" t="s">
        <v>1752</v>
      </c>
      <c r="C40" s="1612"/>
      <c r="D40" s="1613" t="str">
        <f ca="1">IFERROR(C40/G10,"")</f>
        <v/>
      </c>
      <c r="E40" s="323" t="s">
        <v>1753</v>
      </c>
      <c r="F40" s="1480">
        <f ca="1">IFERROR((C38/F37)*E37,0)</f>
        <v>0</v>
      </c>
      <c r="G40" s="1481" t="e">
        <f ca="1">(C40/F38)*E38</f>
        <v>#DIV/0!</v>
      </c>
      <c r="N40" t="s">
        <v>1694</v>
      </c>
    </row>
    <row r="41" spans="1:15" customFormat="1" ht="41.15" customHeight="1" x14ac:dyDescent="0.35">
      <c r="B41" s="1498" t="s">
        <v>1592</v>
      </c>
      <c r="C41" s="1617">
        <f>C38+C40</f>
        <v>0</v>
      </c>
      <c r="D41" s="1611" t="str">
        <f ca="1">IFERROR(D38+D40,"")</f>
        <v/>
      </c>
      <c r="F41" s="264">
        <f ca="1">(F37-C38)</f>
        <v>0</v>
      </c>
      <c r="G41" s="780" t="str">
        <f ca="1">IF(F41&lt;0,"mutuo","")</f>
        <v/>
      </c>
      <c r="N41" t="s">
        <v>1574</v>
      </c>
    </row>
    <row r="42" spans="1:15" customFormat="1" ht="10.5" customHeight="1" x14ac:dyDescent="0.35">
      <c r="B42" s="783"/>
      <c r="C42" s="264"/>
      <c r="D42" s="784"/>
      <c r="F42" s="264"/>
      <c r="G42" s="780"/>
    </row>
    <row r="43" spans="1:15" customFormat="1" ht="6.65" customHeight="1" thickBot="1" x14ac:dyDescent="0.5">
      <c r="A43" s="1794"/>
      <c r="B43" s="1794"/>
      <c r="C43" s="1794"/>
      <c r="D43" s="1794"/>
      <c r="F43" s="264">
        <f ca="1">+F38-C40</f>
        <v>0</v>
      </c>
      <c r="G43" s="780" t="str">
        <f ca="1">IF(F43&lt;0,"fondo perduto","""")</f>
        <v>"</v>
      </c>
      <c r="N43" t="s">
        <v>1754</v>
      </c>
    </row>
    <row r="44" spans="1:15" customFormat="1" ht="10" hidden="1" customHeight="1" x14ac:dyDescent="0.35">
      <c r="I44">
        <f ca="1">ROUND(IF(AND(C38=0,C40=0),F37,
IF(C40=0,F37-C38,
IF(OR(((O12-D38-D40)*G10)+C38&gt;F37,((O12-D38-D40)*G10)+C38&gt;((1-H37-H38)*F37)),MIN(F37-C38,((1-H37-H38)*F37)),(O12-D38-D40)*G10))),2)</f>
        <v>0</v>
      </c>
    </row>
    <row r="45" spans="1:15" customFormat="1" ht="10" hidden="1" customHeight="1" x14ac:dyDescent="0.35"/>
    <row r="46" spans="1:15" customFormat="1" ht="7" hidden="1" customHeight="1" x14ac:dyDescent="0.35"/>
    <row r="47" spans="1:15" customFormat="1" ht="124.5" customHeight="1" thickBot="1" x14ac:dyDescent="0.4">
      <c r="B47" s="1795" t="str">
        <f ca="1">IFERROR(IF(OR(C37&lt;0,C39&lt;0),"Ridefinisci gli importi delle agevolazioni, eccedono i limiti concedibili.",IF(AND(C37+C39&lt;0.1,C41&lt;&gt;0),_xlfn.CONCAT("La combinazione indicata utilizza il 100% degli aiuti disponibili. ATTENZIONE: Variazioni del tasso base potrebbero incidere sugli importi richiedibili."," "," Le agevolazioni possono essere soggette alle limitazioni previste dall’art. 17 del Reg. UE 651/2014 (GBER) o dal"," «Quadro temporaneo per le misure di aiuto di Stato a sostegno dell’economia nell’attuale emergenza del COVID-19» di cui alla comunicazione della Commissione europea del 19 marzo 2020 C(2020) 1863 final e successive modificazioni e integrazioni."),_xlfn.CONCAT("La combinazione di aiuti da te indicata non utilizza tutti gli aiuti disponibili. ",
"ATTENZIONE: Variazioni del tasso base potrebbero incidere sugli importi richiedibili."," "," Le agevolazioni possono essere soggette alle limitazioni previste dall’art. 17 del Reg. UE 651/2014 (GBER) o dal"," «Quadro temporaneo per le misure di aiuto di Stato a sostegno dell’economia nell’attuale emergenza del COVID-19» di cui alla comunicazione della Commissione europea del 19 marzo 2020 C(2020) 1863 final e successive modificazioni e integrazioni."))),"")</f>
        <v/>
      </c>
      <c r="C47" s="1796"/>
      <c r="D47" s="1797"/>
      <c r="I47" t="str">
        <f ca="1">IFERROR(IF(AND(C37+C39=0,C41&lt;&gt;0),_xlfn.CONCAT("La combinazione indicata utilizza il 100% degli aiuti disponibili. ATTENZIONE: Variazioni del tasso base potrebbero incidere sugli importi richiedibili."," Nel caso in cui le disponibilità finanziarie per il fondo perduto fossero esaurite ti sarà riconosciuta la possibilità di ricevere il mutuo fino al 90% dell'investimento ammissibile."," Le agevolazioni possono essere soggette alle limitazioni previste dall’art. 17 del Reg. UE 651/2014 (GBER)."),""),"")</f>
        <v/>
      </c>
    </row>
    <row r="48" spans="1:15" customFormat="1" ht="18.649999999999999" customHeight="1" x14ac:dyDescent="0.35">
      <c r="A48" s="1762" t="s">
        <v>1642</v>
      </c>
      <c r="B48" s="1762"/>
      <c r="C48" s="1762"/>
      <c r="D48" s="1762"/>
    </row>
    <row r="49" spans="1:4" customFormat="1" ht="18.649999999999999" customHeight="1" x14ac:dyDescent="0.35">
      <c r="A49" s="1762"/>
      <c r="B49" s="1762"/>
      <c r="C49" s="1762"/>
      <c r="D49" s="1762"/>
    </row>
    <row r="50" spans="1:4" customFormat="1" ht="34.5" customHeight="1" x14ac:dyDescent="0.35">
      <c r="A50" s="1762"/>
      <c r="B50" s="1762"/>
      <c r="C50" s="1762"/>
      <c r="D50" s="1762"/>
    </row>
    <row r="51" spans="1:4" ht="15" customHeight="1" x14ac:dyDescent="0.35"/>
  </sheetData>
  <sheetProtection algorithmName="SHA-512" hashValue="wLmENZHToNelYl0tTLWVaqCxPtFhIpjpr88nAjUGH6JSp7aHkqejyf8+FGg79ffpZJoYtgoFBUyLAuojcXalzQ==" saltValue="3I11EQEdbsQu2xmOe2Nirg==" spinCount="100000" sheet="1" selectLockedCells="1"/>
  <protectedRanges>
    <protectedRange sqref="C9:C13" name="Intervallo2"/>
    <protectedRange sqref="C19" name="Intervallo3"/>
    <protectedRange sqref="D24:D31" name="Intervallo4"/>
    <protectedRange sqref="C38" name="Intervallo5"/>
    <protectedRange sqref="C40" name="Intervallo6"/>
  </protectedRanges>
  <mergeCells count="15">
    <mergeCell ref="T9:V9"/>
    <mergeCell ref="T14:V14"/>
    <mergeCell ref="T18:V18"/>
    <mergeCell ref="I16:K16"/>
    <mergeCell ref="J31:J32"/>
    <mergeCell ref="B33:D33"/>
    <mergeCell ref="A43:D43"/>
    <mergeCell ref="B47:D47"/>
    <mergeCell ref="A48:D50"/>
    <mergeCell ref="B16:D16"/>
    <mergeCell ref="B18:C18"/>
    <mergeCell ref="B22:D22"/>
    <mergeCell ref="B24:B27"/>
    <mergeCell ref="B28:B31"/>
    <mergeCell ref="D18:D19"/>
  </mergeCells>
  <conditionalFormatting sqref="B16:D17">
    <cfRule type="notContainsBlanks" dxfId="150" priority="6">
      <formula>LEN(TRIM(B16))&gt;0</formula>
    </cfRule>
  </conditionalFormatting>
  <conditionalFormatting sqref="B47:D47">
    <cfRule type="notContainsBlanks" dxfId="149" priority="5">
      <formula>LEN(TRIM(B47))&gt;0</formula>
    </cfRule>
  </conditionalFormatting>
  <conditionalFormatting sqref="C37">
    <cfRule type="expression" dxfId="148" priority="4">
      <formula>$C$37&lt;0</formula>
    </cfRule>
  </conditionalFormatting>
  <conditionalFormatting sqref="C39">
    <cfRule type="expression" dxfId="147" priority="1">
      <formula>$C$37&lt;0</formula>
    </cfRule>
  </conditionalFormatting>
  <dataValidations count="4">
    <dataValidation type="decimal" errorStyle="information" allowBlank="1" showInputMessage="1" showErrorMessage="1" errorTitle="AMMISSIBILITA' SPESA" error="ATTENZIONE: L'acquisto dell'immobile è una spesa ammissibile solo nei casi in cui l'impresa operi nel settore del turismo." sqref="C9" xr:uid="{E6E3E0DD-5EBC-48CB-BA40-5A1B67DB5E12}">
      <formula1>0</formula1>
      <formula2>E4</formula2>
    </dataValidation>
    <dataValidation type="decimal" allowBlank="1" showInputMessage="1" showErrorMessage="1" errorTitle="ERRORE RENDICONTAZIONE" error="Non è possibile rendicontare più del 100% dell'investimento ammesso e meno del 10% sul singolo SAL._x000a_" sqref="D24:D31" xr:uid="{5829161E-5AF7-4540-84C8-5CC64946DEBB}">
      <formula1>0.1</formula1>
      <formula2>1</formula2>
    </dataValidation>
    <dataValidation type="list" allowBlank="1" showInputMessage="1" showErrorMessage="1" sqref="C4 C6" xr:uid="{2A7E4B62-28D2-4BF7-A6A0-93D9354730B1}">
      <formula1>"SI,NO"</formula1>
    </dataValidation>
    <dataValidation type="list" allowBlank="1" showInputMessage="1" showErrorMessage="1" sqref="C2" xr:uid="{EB45FEF1-07CB-44E7-9C80-C3B9A07CBB8B}">
      <formula1>"TEMPORARY FRAMEWORK,GBER"</formula1>
    </dataValidation>
  </dataValidations>
  <hyperlinks>
    <hyperlink ref="B18" r:id="rId1" xr:uid="{8794CC97-5CF6-4341-AB93-4D044A55491B}"/>
  </hyperlinks>
  <pageMargins left="0.25" right="0.25" top="0.75" bottom="0.75" header="0.3" footer="0.3"/>
  <pageSetup scale="65"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50529" r:id="rId5" name="Button 1">
              <controlPr defaultSize="0" print="0" autoFill="0" autoPict="0" macro="[0]!Torna">
                <anchor moveWithCells="1" sizeWithCells="1">
                  <from>
                    <xdr:col>0</xdr:col>
                    <xdr:colOff>12700</xdr:colOff>
                    <xdr:row>0</xdr:row>
                    <xdr:rowOff>0</xdr:rowOff>
                  </from>
                  <to>
                    <xdr:col>1</xdr:col>
                    <xdr:colOff>12700</xdr:colOff>
                    <xdr:row>0</xdr:row>
                    <xdr:rowOff>1708150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3FEB9-3B19-4BB2-AF84-6E1A2C4E4137}">
  <sheetPr codeName="Foglio48"/>
  <dimension ref="A1:G40"/>
  <sheetViews>
    <sheetView showGridLines="0" showRowColHeaders="0" zoomScale="120" zoomScaleNormal="120" workbookViewId="0">
      <selection activeCell="C22" sqref="C22"/>
    </sheetView>
  </sheetViews>
  <sheetFormatPr defaultColWidth="0" defaultRowHeight="14.5" customHeight="1" zeroHeight="1" x14ac:dyDescent="0.35"/>
  <cols>
    <col min="1" max="1" width="8.7265625" customWidth="1"/>
    <col min="2" max="2" width="76.453125" bestFit="1" customWidth="1"/>
    <col min="3" max="3" width="15.1796875" bestFit="1" customWidth="1"/>
    <col min="4" max="4" width="11.453125" customWidth="1"/>
    <col min="5" max="5" width="8.7265625" customWidth="1"/>
    <col min="6" max="6" width="17.1796875" customWidth="1"/>
    <col min="7" max="7" width="12.7265625" customWidth="1"/>
    <col min="8" max="16384" width="8.7265625" hidden="1"/>
  </cols>
  <sheetData>
    <row r="1" spans="2:5" x14ac:dyDescent="0.35">
      <c r="B1" s="1500"/>
    </row>
    <row r="2" spans="2:5" x14ac:dyDescent="0.35"/>
    <row r="3" spans="2:5" hidden="1" x14ac:dyDescent="0.35"/>
    <row r="4" spans="2:5" hidden="1" x14ac:dyDescent="0.35">
      <c r="B4" s="1458" t="s">
        <v>1755</v>
      </c>
      <c r="C4" s="1458" t="s">
        <v>2</v>
      </c>
      <c r="D4" s="590" t="s">
        <v>1756</v>
      </c>
    </row>
    <row r="5" spans="2:5" hidden="1" x14ac:dyDescent="0.35">
      <c r="B5" s="590"/>
      <c r="C5" s="590"/>
    </row>
    <row r="6" spans="2:5" hidden="1" x14ac:dyDescent="0.35">
      <c r="B6" s="1458" t="s">
        <v>3</v>
      </c>
      <c r="C6" s="1458"/>
    </row>
    <row r="7" spans="2:5" hidden="1" x14ac:dyDescent="0.35">
      <c r="B7" s="590"/>
      <c r="C7" s="590"/>
    </row>
    <row r="8" spans="2:5" hidden="1" x14ac:dyDescent="0.35">
      <c r="B8" s="1458" t="s">
        <v>4</v>
      </c>
      <c r="C8" s="1565">
        <v>44562</v>
      </c>
    </row>
    <row r="9" spans="2:5" hidden="1" x14ac:dyDescent="0.35">
      <c r="B9" s="1458" t="s">
        <v>5</v>
      </c>
      <c r="C9" s="1565">
        <v>42005</v>
      </c>
    </row>
    <row r="10" spans="2:5" ht="15" hidden="1" customHeight="1" x14ac:dyDescent="0.35">
      <c r="B10" s="1814" t="s">
        <v>1757</v>
      </c>
      <c r="C10" s="1814"/>
    </row>
    <row r="11" spans="2:5" hidden="1" x14ac:dyDescent="0.35">
      <c r="B11" s="1815"/>
      <c r="C11" s="1815"/>
    </row>
    <row r="12" spans="2:5" hidden="1" x14ac:dyDescent="0.35"/>
    <row r="13" spans="2:5" hidden="1" x14ac:dyDescent="0.35"/>
    <row r="14" spans="2:5" hidden="1" x14ac:dyDescent="0.35"/>
    <row r="15" spans="2:5" x14ac:dyDescent="0.35"/>
    <row r="16" spans="2:5" ht="48" customHeight="1" thickBot="1" x14ac:dyDescent="0.4">
      <c r="B16" s="1501" t="s">
        <v>1758</v>
      </c>
      <c r="C16" s="1816" t="s">
        <v>10</v>
      </c>
      <c r="D16" s="1817"/>
      <c r="E16" s="266"/>
    </row>
    <row r="17" spans="2:7" x14ac:dyDescent="0.35">
      <c r="B17" s="1818" t="s">
        <v>11</v>
      </c>
      <c r="C17" s="1502">
        <v>1</v>
      </c>
      <c r="D17" s="1502">
        <v>2</v>
      </c>
      <c r="E17" s="1503" t="s">
        <v>12</v>
      </c>
      <c r="F17" s="1572" t="s">
        <v>1759</v>
      </c>
      <c r="G17" s="1572"/>
    </row>
    <row r="18" spans="2:7" ht="15" thickBot="1" x14ac:dyDescent="0.4">
      <c r="B18" s="1819"/>
      <c r="C18" s="1504" t="s">
        <v>13</v>
      </c>
      <c r="D18" s="1504" t="s">
        <v>13</v>
      </c>
      <c r="E18" s="1505" t="s">
        <v>13</v>
      </c>
      <c r="F18" s="1572">
        <f>IF(GBER!D32=0,0.5,SUM(GBER!D24:D27))</f>
        <v>0.5</v>
      </c>
      <c r="G18" s="1572">
        <f>1-F18</f>
        <v>0.5</v>
      </c>
    </row>
    <row r="19" spans="2:7" ht="15" thickBot="1" x14ac:dyDescent="0.4">
      <c r="B19" s="271" t="s">
        <v>1760</v>
      </c>
      <c r="C19" s="1557">
        <f>+'ON ANAGRAFICA'!C28*'FONTI - IMPIEGHI'!F18</f>
        <v>0</v>
      </c>
      <c r="D19" s="1558">
        <f>+'ON ANAGRAFICA'!C28*'FONTI - IMPIEGHI'!G18</f>
        <v>0</v>
      </c>
      <c r="E19" s="274">
        <f>SUM(C19:D19)</f>
        <v>0</v>
      </c>
    </row>
    <row r="20" spans="2:7" ht="15" hidden="1" thickBot="1" x14ac:dyDescent="0.4">
      <c r="B20" s="1556" t="s">
        <v>15</v>
      </c>
      <c r="C20" s="1506"/>
      <c r="D20" s="1507"/>
      <c r="E20" s="274">
        <f t="shared" ref="E20:E21" si="0">SUM(C20:D20)</f>
        <v>0</v>
      </c>
    </row>
    <row r="21" spans="2:7" ht="15" hidden="1" thickBot="1" x14ac:dyDescent="0.4">
      <c r="B21" s="1556" t="s">
        <v>16</v>
      </c>
      <c r="C21" s="1506"/>
      <c r="D21" s="1508"/>
      <c r="E21" s="274">
        <f t="shared" si="0"/>
        <v>0</v>
      </c>
    </row>
    <row r="22" spans="2:7" ht="15" thickBot="1" x14ac:dyDescent="0.4">
      <c r="B22" s="276" t="s">
        <v>1761</v>
      </c>
      <c r="C22" s="1585"/>
      <c r="D22" s="1586"/>
      <c r="E22" s="274">
        <f>SUM(C22:D22)</f>
        <v>0</v>
      </c>
    </row>
    <row r="23" spans="2:7" ht="15" thickBot="1" x14ac:dyDescent="0.4">
      <c r="B23" s="277" t="s">
        <v>18</v>
      </c>
      <c r="C23" s="278">
        <f>+C19+C20+C21+C22</f>
        <v>0</v>
      </c>
      <c r="D23" s="278">
        <f>+D19+D20+D21+D22</f>
        <v>0</v>
      </c>
      <c r="E23" s="279">
        <f>SUM(E19:E22)</f>
        <v>0</v>
      </c>
    </row>
    <row r="24" spans="2:7" ht="15" thickBot="1" x14ac:dyDescent="0.4">
      <c r="B24" s="1626"/>
      <c r="C24" s="1627"/>
      <c r="D24" s="1627"/>
      <c r="E24" s="1628"/>
    </row>
    <row r="25" spans="2:7" ht="15" thickBot="1" x14ac:dyDescent="0.4">
      <c r="B25" s="280" t="s">
        <v>19</v>
      </c>
      <c r="C25" s="281">
        <f>SUM(C26:C30)</f>
        <v>0</v>
      </c>
      <c r="D25" s="281">
        <f>SUM(D26:D30)</f>
        <v>0</v>
      </c>
      <c r="E25" s="281">
        <f>SUM(E26:E30)</f>
        <v>0</v>
      </c>
    </row>
    <row r="26" spans="2:7" ht="15" thickBot="1" x14ac:dyDescent="0.4">
      <c r="B26" s="276" t="s">
        <v>20</v>
      </c>
      <c r="C26" s="1585"/>
      <c r="D26" s="1586"/>
      <c r="E26" s="281">
        <f>SUM(C26:D26)</f>
        <v>0</v>
      </c>
      <c r="F26" s="1820" t="s">
        <v>1762</v>
      </c>
      <c r="G26" s="1821"/>
    </row>
    <row r="27" spans="2:7" ht="15" thickBot="1" x14ac:dyDescent="0.4">
      <c r="B27" s="276" t="s">
        <v>21</v>
      </c>
      <c r="C27" s="1585"/>
      <c r="D27" s="1586"/>
      <c r="E27" s="281">
        <f t="shared" ref="E27:E30" si="1">SUM(C27:D27)</f>
        <v>0</v>
      </c>
      <c r="F27" s="1822"/>
      <c r="G27" s="1823"/>
    </row>
    <row r="28" spans="2:7" ht="15" thickBot="1" x14ac:dyDescent="0.4">
      <c r="B28" s="276" t="s">
        <v>22</v>
      </c>
      <c r="C28" s="1585"/>
      <c r="D28" s="1586"/>
      <c r="E28" s="281">
        <f t="shared" si="1"/>
        <v>0</v>
      </c>
      <c r="F28" s="1822"/>
      <c r="G28" s="1823"/>
    </row>
    <row r="29" spans="2:7" ht="27.75" customHeight="1" thickBot="1" x14ac:dyDescent="0.4">
      <c r="B29" s="276" t="s">
        <v>23</v>
      </c>
      <c r="C29" s="1585"/>
      <c r="D29" s="1586"/>
      <c r="E29" s="281">
        <f t="shared" si="1"/>
        <v>0</v>
      </c>
      <c r="F29" s="1824"/>
      <c r="G29" s="1825"/>
    </row>
    <row r="30" spans="2:7" ht="15" hidden="1" thickBot="1" x14ac:dyDescent="0.4">
      <c r="B30" s="1566" t="s">
        <v>24</v>
      </c>
      <c r="C30" s="1567"/>
      <c r="D30" s="1567"/>
      <c r="E30" s="1568">
        <f t="shared" si="1"/>
        <v>0</v>
      </c>
    </row>
    <row r="31" spans="2:7" ht="15" thickBot="1" x14ac:dyDescent="0.4">
      <c r="B31" s="283" t="s">
        <v>2341</v>
      </c>
      <c r="C31" s="279">
        <f>SUM(C32:C34)</f>
        <v>0</v>
      </c>
      <c r="D31" s="279">
        <f>SUM(D32:D34)</f>
        <v>0</v>
      </c>
      <c r="E31" s="279">
        <f>SUM(E32:E34)</f>
        <v>0</v>
      </c>
    </row>
    <row r="32" spans="2:7" ht="15" thickBot="1" x14ac:dyDescent="0.4">
      <c r="B32" s="276" t="s">
        <v>26</v>
      </c>
      <c r="C32" s="1585"/>
      <c r="D32" s="1586"/>
      <c r="E32" s="274">
        <f>SUM(C32:D32)</f>
        <v>0</v>
      </c>
    </row>
    <row r="33" spans="1:7" ht="15" thickBot="1" x14ac:dyDescent="0.4">
      <c r="B33" s="276" t="s">
        <v>27</v>
      </c>
      <c r="C33" s="1585"/>
      <c r="D33" s="1587"/>
      <c r="E33" s="274">
        <f t="shared" ref="E33" si="2">SUM(C33:D33)</f>
        <v>0</v>
      </c>
    </row>
    <row r="34" spans="1:7" ht="15" hidden="1" thickBot="1" x14ac:dyDescent="0.4">
      <c r="B34" s="1566" t="s">
        <v>28</v>
      </c>
      <c r="C34" s="1569"/>
      <c r="D34" s="1570"/>
      <c r="E34" s="1571">
        <f>SUM(C34:D34)</f>
        <v>0</v>
      </c>
    </row>
    <row r="35" spans="1:7" ht="15" thickBot="1" x14ac:dyDescent="0.4">
      <c r="B35" s="284" t="s">
        <v>2342</v>
      </c>
      <c r="C35" s="285">
        <f>C36+C37</f>
        <v>0</v>
      </c>
      <c r="D35" s="285">
        <f>D36+D37</f>
        <v>0</v>
      </c>
      <c r="E35" s="285">
        <f>E36+E37</f>
        <v>0</v>
      </c>
    </row>
    <row r="36" spans="1:7" ht="15" thickBot="1" x14ac:dyDescent="0.4">
      <c r="B36" s="276" t="s">
        <v>30</v>
      </c>
      <c r="C36" s="1559">
        <f>+'ON ANAGRAFICA'!C41*'FONTI - IMPIEGHI'!F18</f>
        <v>0</v>
      </c>
      <c r="D36" s="1560">
        <f>+'ON ANAGRAFICA'!C41*'FONTI - IMPIEGHI'!G18</f>
        <v>0</v>
      </c>
      <c r="E36" s="274">
        <f>C36+D36</f>
        <v>0</v>
      </c>
    </row>
    <row r="37" spans="1:7" ht="15" thickBot="1" x14ac:dyDescent="0.4">
      <c r="B37" s="276" t="s">
        <v>31</v>
      </c>
      <c r="C37" s="1561">
        <f>+'ON ANAGRAFICA'!C42*F18</f>
        <v>0</v>
      </c>
      <c r="D37" s="1562">
        <f>+'ON ANAGRAFICA'!C42*G18</f>
        <v>0</v>
      </c>
      <c r="E37" s="274">
        <f>C37+D37</f>
        <v>0</v>
      </c>
    </row>
    <row r="38" spans="1:7" ht="15" thickBot="1" x14ac:dyDescent="0.4">
      <c r="B38" s="300" t="s">
        <v>32</v>
      </c>
      <c r="C38" s="278">
        <f>C35+C31+C25</f>
        <v>0</v>
      </c>
      <c r="D38" s="278">
        <f>D35+D31+D25</f>
        <v>0</v>
      </c>
      <c r="E38" s="278">
        <f>E35+E31+E25</f>
        <v>0</v>
      </c>
    </row>
    <row r="39" spans="1:7" x14ac:dyDescent="0.35"/>
    <row r="40" spans="1:7" ht="73.5" customHeight="1" x14ac:dyDescent="0.35">
      <c r="A40" s="1813" t="s">
        <v>1642</v>
      </c>
      <c r="B40" s="1813"/>
      <c r="C40" s="1813"/>
      <c r="D40" s="1813"/>
      <c r="E40" s="1813"/>
      <c r="F40" s="1813"/>
      <c r="G40" s="1813"/>
    </row>
  </sheetData>
  <sheetProtection algorithmName="SHA-512" hashValue="v6KnlmxMXp6QTlwl1ZX9HAEaHGQTFRpeV4Eim55UBpj/Bk0du/qhbQ4X3AYJqR1qp0LTTBpD1zXWjOWr/7gRQQ==" saltValue="9j+9jZz1uQHeDsvPdC8pQA==" spinCount="100000" sheet="1" selectLockedCells="1"/>
  <protectedRanges>
    <protectedRange sqref="A41:XFD1048576 C4 C6 C8:C9 C19:E23 C25:E38" name="DATI_PIATTAFORMA"/>
  </protectedRanges>
  <mergeCells count="6">
    <mergeCell ref="A40:G40"/>
    <mergeCell ref="B10:C11"/>
    <mergeCell ref="C16:D16"/>
    <mergeCell ref="B17:B18"/>
    <mergeCell ref="B24:E24"/>
    <mergeCell ref="F26:G29"/>
  </mergeCells>
  <dataValidations count="1">
    <dataValidation type="list" allowBlank="1" showInputMessage="1" showErrorMessage="1" sqref="C4" xr:uid="{C35FD760-6886-45A8-9483-504106D0676C}">
      <formula1>"Capo II,Capo III"</formula1>
    </dataValidation>
  </dataValidation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D5122-DDD0-4152-A961-6AE44DDDAE77}">
  <sheetPr codeName="Foglio50">
    <tabColor theme="3" tint="0.39997558519241921"/>
  </sheetPr>
  <dimension ref="A2:AF190"/>
  <sheetViews>
    <sheetView showGridLines="0" showRowColHeaders="0" topLeftCell="A9" zoomScale="70" zoomScaleNormal="70" workbookViewId="0">
      <selection activeCell="C10" sqref="C10"/>
    </sheetView>
  </sheetViews>
  <sheetFormatPr defaultColWidth="0" defaultRowHeight="10" zeroHeight="1" x14ac:dyDescent="0.2"/>
  <cols>
    <col min="1" max="1" width="6.81640625" style="1512" customWidth="1"/>
    <col min="2" max="2" width="49.1796875" style="1512" customWidth="1"/>
    <col min="3" max="10" width="40.54296875" style="1512" customWidth="1"/>
    <col min="11" max="11" width="39.81640625" style="1512" customWidth="1"/>
    <col min="12" max="12" width="8.7265625" style="1512" customWidth="1"/>
    <col min="13" max="13" width="43.7265625" style="1512" bestFit="1" customWidth="1"/>
    <col min="14" max="31" width="40.54296875" style="1512" customWidth="1"/>
    <col min="32" max="32" width="8.7265625" style="1512" customWidth="1"/>
    <col min="33" max="16384" width="8.7265625" style="1512" hidden="1"/>
  </cols>
  <sheetData>
    <row r="2" spans="2:31" s="1509" customFormat="1" hidden="1" x14ac:dyDescent="0.2">
      <c r="B2" s="1509" t="s">
        <v>33</v>
      </c>
      <c r="C2" s="1509" t="str">
        <f>IF('FONTI - IMPIEGHI'!C4="CAPO II","X","")</f>
        <v/>
      </c>
    </row>
    <row r="3" spans="2:31" s="1509" customFormat="1" hidden="1" x14ac:dyDescent="0.2"/>
    <row r="4" spans="2:31" s="1509" customFormat="1" hidden="1" x14ac:dyDescent="0.2">
      <c r="B4" s="1509" t="s">
        <v>34</v>
      </c>
      <c r="C4" s="1509" t="str">
        <f>IF('FONTI - IMPIEGHI'!C4="CAPO III","X","")</f>
        <v>X</v>
      </c>
    </row>
    <row r="5" spans="2:31" s="1509" customFormat="1" hidden="1" x14ac:dyDescent="0.2"/>
    <row r="6" spans="2:31" s="1509" customFormat="1" hidden="1" x14ac:dyDescent="0.2">
      <c r="B6" s="1509" t="s">
        <v>3</v>
      </c>
      <c r="C6" s="1509">
        <f>+'FONTI - IMPIEGHI'!C6</f>
        <v>0</v>
      </c>
    </row>
    <row r="7" spans="2:31" s="1509" customFormat="1" hidden="1" x14ac:dyDescent="0.2"/>
    <row r="8" spans="2:31" s="1509" customFormat="1" hidden="1" x14ac:dyDescent="0.2">
      <c r="B8" s="1509" t="s">
        <v>4</v>
      </c>
      <c r="C8" s="1510">
        <f>+'FONTI - IMPIEGHI'!C8</f>
        <v>44562</v>
      </c>
    </row>
    <row r="9" spans="2:31" s="1509" customFormat="1" ht="10.5" thickBot="1" x14ac:dyDescent="0.25">
      <c r="B9" s="1509" t="s">
        <v>5</v>
      </c>
      <c r="C9" s="1510">
        <f>+'FONTI - IMPIEGHI'!C9</f>
        <v>42005</v>
      </c>
    </row>
    <row r="10" spans="2:31" ht="26.15" customHeight="1" thickBot="1" x14ac:dyDescent="0.25">
      <c r="B10" s="1511" t="s">
        <v>35</v>
      </c>
      <c r="C10" s="1601">
        <v>3</v>
      </c>
      <c r="N10" s="1832" t="str">
        <f>IF(C4&lt;&gt;"","Compilare il conto economico rappresentando in maniera unitaria la società nelle colonne ''SOCIETA' '' e rappresentare le variazioni positive e/o negative attese dal progetto presentato a finanziamento nella colonna ''Δ PROGETTO''","")</f>
        <v>Compilare il conto economico rappresentando in maniera unitaria la società nelle colonne ''SOCIETA' '' e rappresentare le variazioni positive e/o negative attese dal progetto presentato a finanziamento nella colonna ''Δ PROGETTO''</v>
      </c>
      <c r="O10" s="1832"/>
      <c r="P10" s="1832"/>
      <c r="Q10" s="1832"/>
      <c r="R10" s="1832"/>
      <c r="S10" s="1832"/>
      <c r="T10" s="1832"/>
      <c r="U10" s="1832"/>
      <c r="V10" s="1832"/>
    </row>
    <row r="11" spans="2:31" x14ac:dyDescent="0.2">
      <c r="N11" s="1832"/>
      <c r="O11" s="1832"/>
      <c r="P11" s="1832"/>
      <c r="Q11" s="1832"/>
      <c r="R11" s="1832"/>
      <c r="S11" s="1832"/>
      <c r="T11" s="1832"/>
      <c r="U11" s="1832"/>
      <c r="V11" s="1832"/>
    </row>
    <row r="12" spans="2:31" x14ac:dyDescent="0.2">
      <c r="N12" s="1832"/>
      <c r="O12" s="1832"/>
      <c r="P12" s="1832"/>
      <c r="Q12" s="1832"/>
      <c r="R12" s="1832"/>
      <c r="S12" s="1832"/>
      <c r="T12" s="1832"/>
      <c r="U12" s="1832"/>
      <c r="V12" s="1832"/>
    </row>
    <row r="13" spans="2:31" ht="18.649999999999999" customHeight="1" x14ac:dyDescent="0.2">
      <c r="C13" s="1513" t="str">
        <f>IF(C15&lt;&gt;"",CONCATENATE("ANNO t",C15),"")</f>
        <v>ANNO t-3</v>
      </c>
      <c r="D13" s="1513" t="str">
        <f t="shared" ref="D13:K13" si="0">IF(D15&lt;&gt;"",CONCATENATE("ANNO t",D15),"")</f>
        <v>ANNO t-2</v>
      </c>
      <c r="E13" s="1513" t="str">
        <f t="shared" si="0"/>
        <v>ANNO t-1</v>
      </c>
      <c r="F13" s="1513" t="str">
        <f t="shared" si="0"/>
        <v>ANNO t0</v>
      </c>
      <c r="G13" s="1513" t="str">
        <f t="shared" si="0"/>
        <v>ANNO t1</v>
      </c>
      <c r="H13" s="1513" t="str">
        <f t="shared" si="0"/>
        <v>ANNO t2</v>
      </c>
      <c r="I13" s="1513" t="str">
        <f t="shared" si="0"/>
        <v>ANNO t3</v>
      </c>
      <c r="J13" s="1513" t="str">
        <f t="shared" si="0"/>
        <v/>
      </c>
      <c r="K13" s="1513" t="str">
        <f t="shared" si="0"/>
        <v/>
      </c>
      <c r="N13" s="1509"/>
      <c r="O13" s="1509">
        <f>+N14</f>
        <v>-3</v>
      </c>
      <c r="P13" s="1509"/>
      <c r="Q13" s="1509">
        <f>+P14</f>
        <v>-2</v>
      </c>
      <c r="R13" s="1509"/>
      <c r="S13" s="1509">
        <f t="shared" ref="S13:AE13" si="1">+R14</f>
        <v>-1</v>
      </c>
      <c r="T13" s="1509"/>
      <c r="U13" s="1509">
        <f t="shared" si="1"/>
        <v>0</v>
      </c>
      <c r="V13" s="1509"/>
      <c r="W13" s="1509">
        <f t="shared" si="1"/>
        <v>1</v>
      </c>
      <c r="X13" s="1509"/>
      <c r="Y13" s="1509">
        <f t="shared" si="1"/>
        <v>2</v>
      </c>
      <c r="Z13" s="1509"/>
      <c r="AA13" s="1509">
        <f t="shared" si="1"/>
        <v>3</v>
      </c>
      <c r="AB13" s="1509"/>
      <c r="AC13" s="1509" t="str">
        <f t="shared" si="1"/>
        <v/>
      </c>
      <c r="AD13" s="1509"/>
      <c r="AE13" s="1509" t="str">
        <f t="shared" si="1"/>
        <v/>
      </c>
    </row>
    <row r="14" spans="2:31" ht="7" customHeight="1" x14ac:dyDescent="0.2">
      <c r="C14" s="1509">
        <f>IF((YEAR(C8)-YEAR(C9))&gt;3,3,(YEAR(C8)-YEAR(C9)))</f>
        <v>3</v>
      </c>
      <c r="D14" s="1509"/>
      <c r="E14" s="1509"/>
      <c r="F14" s="1509"/>
      <c r="G14" s="1509"/>
      <c r="H14" s="1509"/>
      <c r="I14" s="1509"/>
      <c r="J14" s="1509"/>
      <c r="K14" s="1509"/>
      <c r="N14" s="1509">
        <f>+C15</f>
        <v>-3</v>
      </c>
      <c r="O14" s="1509"/>
      <c r="P14" s="1509">
        <f>+D15</f>
        <v>-2</v>
      </c>
      <c r="Q14" s="1509"/>
      <c r="R14" s="1509">
        <f>+E15</f>
        <v>-1</v>
      </c>
      <c r="S14" s="1509"/>
      <c r="T14" s="1509">
        <f>+F15</f>
        <v>0</v>
      </c>
      <c r="U14" s="1509"/>
      <c r="V14" s="1509">
        <f>+G15</f>
        <v>1</v>
      </c>
      <c r="W14" s="1509"/>
      <c r="X14" s="1509">
        <f>+H15</f>
        <v>2</v>
      </c>
      <c r="Y14" s="1509"/>
      <c r="Z14" s="1509">
        <f>+I15</f>
        <v>3</v>
      </c>
      <c r="AA14" s="1509"/>
      <c r="AB14" s="1509" t="str">
        <f>+J15</f>
        <v/>
      </c>
      <c r="AC14" s="1509"/>
      <c r="AD14" s="1509" t="str">
        <f>+K15</f>
        <v/>
      </c>
      <c r="AE14" s="1509"/>
    </row>
    <row r="15" spans="2:31" ht="15" customHeight="1" thickBot="1" x14ac:dyDescent="0.25">
      <c r="C15" s="1509">
        <f>-C14</f>
        <v>-3</v>
      </c>
      <c r="D15" s="1509">
        <f>IFERROR(IF((C15+1)&gt;$C$10,"",C15+1),"")</f>
        <v>-2</v>
      </c>
      <c r="E15" s="1514">
        <f t="shared" ref="E15:K15" si="2">IFERROR(IF((D15+1)&gt;$C$10,"",D15+1),"")</f>
        <v>-1</v>
      </c>
      <c r="F15" s="1514">
        <f t="shared" si="2"/>
        <v>0</v>
      </c>
      <c r="G15" s="1509">
        <f t="shared" si="2"/>
        <v>1</v>
      </c>
      <c r="H15" s="1509">
        <f t="shared" si="2"/>
        <v>2</v>
      </c>
      <c r="I15" s="1509">
        <f t="shared" si="2"/>
        <v>3</v>
      </c>
      <c r="J15" s="1509" t="str">
        <f t="shared" si="2"/>
        <v/>
      </c>
      <c r="K15" s="1509" t="str">
        <f t="shared" si="2"/>
        <v/>
      </c>
      <c r="N15" s="1513" t="s">
        <v>36</v>
      </c>
      <c r="O15" s="1513" t="str">
        <f>IF($C$2=0,"Δ PROGETTO","")</f>
        <v/>
      </c>
      <c r="P15" s="1513" t="s">
        <v>36</v>
      </c>
      <c r="Q15" s="1513" t="str">
        <f>IF($C$2=0,"Δ PROGETTO","")</f>
        <v/>
      </c>
      <c r="R15" s="1513" t="s">
        <v>36</v>
      </c>
      <c r="S15" s="1513" t="str">
        <f>IF($C$2=0,"Δ PROGETTO","")</f>
        <v/>
      </c>
      <c r="T15" s="1513" t="s">
        <v>36</v>
      </c>
      <c r="U15" s="1513" t="str">
        <f>IF($C$2="","Δ PROGETTO","")</f>
        <v>Δ PROGETTO</v>
      </c>
      <c r="V15" s="1513" t="str">
        <f>+IF(V14="","","SOCIETA'")</f>
        <v>SOCIETA'</v>
      </c>
      <c r="W15" s="1513" t="str">
        <f>IF($C$2="","Δ PROGETTO","")</f>
        <v>Δ PROGETTO</v>
      </c>
      <c r="X15" s="1513" t="str">
        <f>+IF(X14="","","SOCIETA'")</f>
        <v>SOCIETA'</v>
      </c>
      <c r="Y15" s="1513" t="str">
        <f>IF(X14="","",IF($C$2="","Δ PROGETTO",""))</f>
        <v>Δ PROGETTO</v>
      </c>
      <c r="Z15" s="1513" t="str">
        <f>+IF(Z14="","","SOCIETA'")</f>
        <v>SOCIETA'</v>
      </c>
      <c r="AA15" s="1513" t="str">
        <f>IF(Z14="","",IF($C$2="","Δ PROGETTO",""))</f>
        <v>Δ PROGETTO</v>
      </c>
      <c r="AB15" s="1513" t="str">
        <f>+IF(AB14="","","SOCIETA'")</f>
        <v/>
      </c>
      <c r="AC15" s="1513" t="str">
        <f>IF(AB14="","",IF($C$2="","Δ PROGETTO",""))</f>
        <v/>
      </c>
      <c r="AD15" s="1513" t="str">
        <f>+IF(AD14="","","SOCIETA'")</f>
        <v/>
      </c>
      <c r="AE15" s="1513" t="str">
        <f>IF(AD14="","",IF($C$2="","Δ PROGETTO",""))</f>
        <v/>
      </c>
    </row>
    <row r="16" spans="2:31" ht="12.5" thickBot="1" x14ac:dyDescent="0.35">
      <c r="B16" s="1515" t="s">
        <v>37</v>
      </c>
      <c r="C16" s="176">
        <f>+C17+C18+C39+C47</f>
        <v>0</v>
      </c>
      <c r="D16" s="177">
        <f t="shared" ref="D16:K16" si="3">+D17+D18+D39+D47</f>
        <v>0</v>
      </c>
      <c r="E16" s="177">
        <f t="shared" si="3"/>
        <v>0</v>
      </c>
      <c r="F16" s="178">
        <f t="shared" si="3"/>
        <v>0</v>
      </c>
      <c r="G16" s="177">
        <f t="shared" si="3"/>
        <v>0</v>
      </c>
      <c r="H16" s="177">
        <f t="shared" si="3"/>
        <v>0</v>
      </c>
      <c r="I16" s="177">
        <f t="shared" si="3"/>
        <v>0</v>
      </c>
      <c r="J16" s="177">
        <f t="shared" si="3"/>
        <v>0</v>
      </c>
      <c r="K16" s="177">
        <f t="shared" si="3"/>
        <v>0</v>
      </c>
      <c r="M16" s="1515" t="s">
        <v>38</v>
      </c>
      <c r="N16" s="1828" t="str">
        <f>IF(N14&lt;&gt;"",CONCATENATE("ANNO ",N14),"")</f>
        <v>ANNO -3</v>
      </c>
      <c r="O16" s="1828"/>
      <c r="P16" s="1828" t="str">
        <f t="shared" ref="P16" si="4">IF(P14&lt;&gt;"",CONCATENATE("ANNO ",P14),"")</f>
        <v>ANNO -2</v>
      </c>
      <c r="Q16" s="1828"/>
      <c r="R16" s="1828" t="str">
        <f t="shared" ref="R16" si="5">IF(R14&lt;&gt;"",CONCATENATE("ANNO ",R14),"")</f>
        <v>ANNO -1</v>
      </c>
      <c r="S16" s="1828"/>
      <c r="T16" s="1828" t="str">
        <f t="shared" ref="T16" si="6">IF(T14&lt;&gt;"",CONCATENATE("ANNO ",T14),"")</f>
        <v>ANNO 0</v>
      </c>
      <c r="U16" s="1828"/>
      <c r="V16" s="1828" t="str">
        <f t="shared" ref="V16" si="7">IF(V14&lt;&gt;"",CONCATENATE("ANNO ",V14),"")</f>
        <v>ANNO 1</v>
      </c>
      <c r="W16" s="1828"/>
      <c r="X16" s="1828" t="str">
        <f t="shared" ref="X16" si="8">IF(X14&lt;&gt;"",CONCATENATE("ANNO ",X14),"")</f>
        <v>ANNO 2</v>
      </c>
      <c r="Y16" s="1828"/>
      <c r="Z16" s="1828" t="str">
        <f t="shared" ref="Z16" si="9">IF(Z14&lt;&gt;"",CONCATENATE("ANNO ",Z14),"")</f>
        <v>ANNO 3</v>
      </c>
      <c r="AA16" s="1828"/>
      <c r="AB16" s="1828" t="str">
        <f t="shared" ref="AB16" si="10">IF(AB14&lt;&gt;"",CONCATENATE("ANNO ",AB14),"")</f>
        <v/>
      </c>
      <c r="AC16" s="1828"/>
      <c r="AD16" s="1828" t="str">
        <f t="shared" ref="AD16" si="11">IF(AD14&lt;&gt;"",CONCATENATE("ANNO ",AD14),"")</f>
        <v/>
      </c>
      <c r="AE16" s="1828"/>
    </row>
    <row r="17" spans="2:31" ht="14.5" x14ac:dyDescent="0.35">
      <c r="B17" s="1516" t="s">
        <v>39</v>
      </c>
      <c r="C17" s="1597"/>
      <c r="D17" s="1598"/>
      <c r="E17" s="1598"/>
      <c r="F17" s="1598"/>
      <c r="G17" s="1598"/>
      <c r="H17" s="1598"/>
      <c r="I17" s="1598"/>
      <c r="J17" s="1598"/>
      <c r="K17" s="1598"/>
      <c r="M17" s="1516" t="s">
        <v>40</v>
      </c>
      <c r="N17" s="180">
        <f>+N18+N19+N20</f>
        <v>0</v>
      </c>
      <c r="O17" s="181">
        <f>+O18+O19+O20</f>
        <v>0</v>
      </c>
      <c r="P17" s="182">
        <f t="shared" ref="P17:AE17" si="12">+P18+P19+P20</f>
        <v>0</v>
      </c>
      <c r="Q17" s="181">
        <f t="shared" si="12"/>
        <v>0</v>
      </c>
      <c r="R17" s="182">
        <f t="shared" si="12"/>
        <v>0</v>
      </c>
      <c r="S17" s="181">
        <f t="shared" si="12"/>
        <v>0</v>
      </c>
      <c r="T17" s="182">
        <f t="shared" si="12"/>
        <v>0</v>
      </c>
      <c r="U17" s="181">
        <f t="shared" si="12"/>
        <v>0</v>
      </c>
      <c r="V17" s="182">
        <f t="shared" si="12"/>
        <v>0</v>
      </c>
      <c r="W17" s="181">
        <f t="shared" si="12"/>
        <v>0</v>
      </c>
      <c r="X17" s="182">
        <f t="shared" si="12"/>
        <v>0</v>
      </c>
      <c r="Y17" s="181">
        <f t="shared" si="12"/>
        <v>0</v>
      </c>
      <c r="Z17" s="182">
        <f t="shared" si="12"/>
        <v>0</v>
      </c>
      <c r="AA17" s="181">
        <f t="shared" si="12"/>
        <v>0</v>
      </c>
      <c r="AB17" s="182">
        <f t="shared" si="12"/>
        <v>0</v>
      </c>
      <c r="AC17" s="181">
        <f t="shared" si="12"/>
        <v>0</v>
      </c>
      <c r="AD17" s="182">
        <f t="shared" si="12"/>
        <v>0</v>
      </c>
      <c r="AE17" s="181">
        <f t="shared" si="12"/>
        <v>0</v>
      </c>
    </row>
    <row r="18" spans="2:31" ht="24.5" x14ac:dyDescent="0.35">
      <c r="B18" s="1517" t="s">
        <v>41</v>
      </c>
      <c r="C18" s="184">
        <f>+C19+C27+C33</f>
        <v>0</v>
      </c>
      <c r="D18" s="185">
        <f t="shared" ref="D18:K18" si="13">+D19+D27+D33</f>
        <v>0</v>
      </c>
      <c r="E18" s="185">
        <f t="shared" si="13"/>
        <v>0</v>
      </c>
      <c r="F18" s="185">
        <f t="shared" si="13"/>
        <v>0</v>
      </c>
      <c r="G18" s="185">
        <f t="shared" si="13"/>
        <v>0</v>
      </c>
      <c r="H18" s="185">
        <f t="shared" si="13"/>
        <v>0</v>
      </c>
      <c r="I18" s="185">
        <f t="shared" si="13"/>
        <v>0</v>
      </c>
      <c r="J18" s="185">
        <f t="shared" si="13"/>
        <v>0</v>
      </c>
      <c r="K18" s="185">
        <f t="shared" si="13"/>
        <v>0</v>
      </c>
      <c r="M18" s="1518" t="s">
        <v>42</v>
      </c>
      <c r="N18" s="1588"/>
      <c r="O18" s="1589"/>
      <c r="P18" s="1590"/>
      <c r="Q18" s="1589"/>
      <c r="R18" s="1590"/>
      <c r="S18" s="1589"/>
      <c r="T18" s="1590"/>
      <c r="U18" s="1589"/>
      <c r="V18" s="1590"/>
      <c r="W18" s="1589"/>
      <c r="X18" s="1590"/>
      <c r="Y18" s="1589"/>
      <c r="Z18" s="1590"/>
      <c r="AA18" s="1589"/>
      <c r="AB18" s="1590"/>
      <c r="AC18" s="1589"/>
      <c r="AD18" s="1590"/>
      <c r="AE18" s="1589"/>
    </row>
    <row r="19" spans="2:31" ht="36.5" x14ac:dyDescent="0.35">
      <c r="B19" s="1518" t="s">
        <v>43</v>
      </c>
      <c r="C19" s="189">
        <f>SUM(C20:C26)</f>
        <v>0</v>
      </c>
      <c r="D19" s="190">
        <f t="shared" ref="D19:K19" si="14">SUM(D20:D26)</f>
        <v>0</v>
      </c>
      <c r="E19" s="190">
        <f t="shared" si="14"/>
        <v>0</v>
      </c>
      <c r="F19" s="190">
        <f t="shared" si="14"/>
        <v>0</v>
      </c>
      <c r="G19" s="190">
        <f t="shared" si="14"/>
        <v>0</v>
      </c>
      <c r="H19" s="190">
        <f t="shared" si="14"/>
        <v>0</v>
      </c>
      <c r="I19" s="190">
        <f t="shared" si="14"/>
        <v>0</v>
      </c>
      <c r="J19" s="190">
        <f t="shared" si="14"/>
        <v>0</v>
      </c>
      <c r="K19" s="190">
        <f t="shared" si="14"/>
        <v>0</v>
      </c>
      <c r="M19" s="1519" t="s">
        <v>44</v>
      </c>
      <c r="N19" s="1588"/>
      <c r="O19" s="1589"/>
      <c r="P19" s="1590"/>
      <c r="Q19" s="1589"/>
      <c r="R19" s="1590"/>
      <c r="S19" s="1589"/>
      <c r="T19" s="1590"/>
      <c r="U19" s="1589"/>
      <c r="V19" s="1590"/>
      <c r="W19" s="1589"/>
      <c r="X19" s="1590"/>
      <c r="Y19" s="1589"/>
      <c r="Z19" s="1590"/>
      <c r="AA19" s="1589"/>
      <c r="AB19" s="1590"/>
      <c r="AC19" s="1589"/>
      <c r="AD19" s="1590"/>
      <c r="AE19" s="1589"/>
    </row>
    <row r="20" spans="2:31" ht="14.5" x14ac:dyDescent="0.35">
      <c r="B20" s="1518" t="s">
        <v>45</v>
      </c>
      <c r="C20" s="1597"/>
      <c r="D20" s="1598"/>
      <c r="E20" s="1598"/>
      <c r="F20" s="1598"/>
      <c r="G20" s="1598"/>
      <c r="H20" s="1598"/>
      <c r="I20" s="1598"/>
      <c r="J20" s="1598"/>
      <c r="K20" s="1598"/>
      <c r="M20" s="1518" t="s">
        <v>46</v>
      </c>
      <c r="N20" s="1588"/>
      <c r="O20" s="1589"/>
      <c r="P20" s="1590"/>
      <c r="Q20" s="1589"/>
      <c r="R20" s="1590"/>
      <c r="S20" s="1589"/>
      <c r="T20" s="1590"/>
      <c r="U20" s="1589"/>
      <c r="V20" s="1590"/>
      <c r="W20" s="1589"/>
      <c r="X20" s="1590"/>
      <c r="Y20" s="1589"/>
      <c r="Z20" s="1590"/>
      <c r="AA20" s="1589"/>
      <c r="AB20" s="1590"/>
      <c r="AC20" s="1589"/>
      <c r="AD20" s="1590"/>
      <c r="AE20" s="1589"/>
    </row>
    <row r="21" spans="2:31" ht="14.5" x14ac:dyDescent="0.35">
      <c r="B21" s="1520" t="s">
        <v>47</v>
      </c>
      <c r="C21" s="1597"/>
      <c r="D21" s="1598"/>
      <c r="E21" s="1598"/>
      <c r="F21" s="1598"/>
      <c r="G21" s="1598"/>
      <c r="H21" s="1598"/>
      <c r="I21" s="1598"/>
      <c r="J21" s="1598"/>
      <c r="K21" s="1598"/>
      <c r="M21" s="1521" t="s">
        <v>48</v>
      </c>
      <c r="N21" s="194">
        <f>+N22+N23+N24+N25+N26+N27+N28+N29</f>
        <v>0</v>
      </c>
      <c r="O21" s="195">
        <f>+O22+O23+O24+O25+O26+O27+O28+O29</f>
        <v>0</v>
      </c>
      <c r="P21" s="196">
        <f t="shared" ref="P21:AE21" si="15">+P22+P23+P24+P25+P26+P27+P28+P29</f>
        <v>0</v>
      </c>
      <c r="Q21" s="195">
        <f t="shared" si="15"/>
        <v>0</v>
      </c>
      <c r="R21" s="196">
        <f t="shared" si="15"/>
        <v>0</v>
      </c>
      <c r="S21" s="195">
        <f t="shared" si="15"/>
        <v>0</v>
      </c>
      <c r="T21" s="196">
        <f t="shared" si="15"/>
        <v>0</v>
      </c>
      <c r="U21" s="195">
        <f t="shared" si="15"/>
        <v>0</v>
      </c>
      <c r="V21" s="196">
        <f t="shared" si="15"/>
        <v>0</v>
      </c>
      <c r="W21" s="195">
        <f t="shared" si="15"/>
        <v>0</v>
      </c>
      <c r="X21" s="196">
        <f t="shared" si="15"/>
        <v>0</v>
      </c>
      <c r="Y21" s="195">
        <f t="shared" si="15"/>
        <v>0</v>
      </c>
      <c r="Z21" s="196">
        <f t="shared" si="15"/>
        <v>0</v>
      </c>
      <c r="AA21" s="195">
        <f t="shared" si="15"/>
        <v>0</v>
      </c>
      <c r="AB21" s="196">
        <f t="shared" si="15"/>
        <v>0</v>
      </c>
      <c r="AC21" s="195">
        <f t="shared" si="15"/>
        <v>0</v>
      </c>
      <c r="AD21" s="196">
        <f t="shared" si="15"/>
        <v>0</v>
      </c>
      <c r="AE21" s="195">
        <f t="shared" si="15"/>
        <v>0</v>
      </c>
    </row>
    <row r="22" spans="2:31" ht="14.5" x14ac:dyDescent="0.35">
      <c r="B22" s="1520" t="s">
        <v>49</v>
      </c>
      <c r="C22" s="1597"/>
      <c r="D22" s="1598"/>
      <c r="E22" s="1598"/>
      <c r="F22" s="1598"/>
      <c r="G22" s="1598"/>
      <c r="H22" s="1598"/>
      <c r="I22" s="1598"/>
      <c r="J22" s="1598"/>
      <c r="K22" s="1598"/>
      <c r="M22" s="1520" t="s">
        <v>50</v>
      </c>
      <c r="N22" s="1588"/>
      <c r="O22" s="1589"/>
      <c r="P22" s="1590"/>
      <c r="Q22" s="1589"/>
      <c r="R22" s="1590"/>
      <c r="S22" s="1589"/>
      <c r="T22" s="1590"/>
      <c r="U22" s="1589"/>
      <c r="V22" s="1590"/>
      <c r="W22" s="1589"/>
      <c r="X22" s="1590"/>
      <c r="Y22" s="1589"/>
      <c r="Z22" s="1590"/>
      <c r="AA22" s="1589"/>
      <c r="AB22" s="1590"/>
      <c r="AC22" s="1589"/>
      <c r="AD22" s="1590"/>
      <c r="AE22" s="1589"/>
    </row>
    <row r="23" spans="2:31" ht="14.5" x14ac:dyDescent="0.35">
      <c r="B23" s="1520" t="s">
        <v>51</v>
      </c>
      <c r="C23" s="1597"/>
      <c r="D23" s="1598"/>
      <c r="E23" s="1598"/>
      <c r="F23" s="1598"/>
      <c r="G23" s="1598"/>
      <c r="H23" s="1598"/>
      <c r="I23" s="1598"/>
      <c r="J23" s="1598"/>
      <c r="K23" s="1598"/>
      <c r="M23" s="1520" t="s">
        <v>52</v>
      </c>
      <c r="N23" s="1588"/>
      <c r="O23" s="1589"/>
      <c r="P23" s="1590"/>
      <c r="Q23" s="1589"/>
      <c r="R23" s="1590"/>
      <c r="S23" s="1589"/>
      <c r="T23" s="1590"/>
      <c r="U23" s="1589"/>
      <c r="V23" s="1590"/>
      <c r="W23" s="1589"/>
      <c r="X23" s="1590"/>
      <c r="Y23" s="1589"/>
      <c r="Z23" s="1590"/>
      <c r="AA23" s="1589"/>
      <c r="AB23" s="1590"/>
      <c r="AC23" s="1589"/>
      <c r="AD23" s="1590"/>
      <c r="AE23" s="1589"/>
    </row>
    <row r="24" spans="2:31" ht="14.5" x14ac:dyDescent="0.35">
      <c r="B24" s="1520" t="s">
        <v>53</v>
      </c>
      <c r="C24" s="1597"/>
      <c r="D24" s="1598"/>
      <c r="E24" s="1598"/>
      <c r="F24" s="1598"/>
      <c r="G24" s="1598"/>
      <c r="H24" s="1598"/>
      <c r="I24" s="1598"/>
      <c r="J24" s="1598"/>
      <c r="K24" s="1598"/>
      <c r="M24" s="1520" t="s">
        <v>54</v>
      </c>
      <c r="N24" s="1588"/>
      <c r="O24" s="1589"/>
      <c r="P24" s="1590"/>
      <c r="Q24" s="1589"/>
      <c r="R24" s="1590"/>
      <c r="S24" s="1589"/>
      <c r="T24" s="1590"/>
      <c r="U24" s="1589"/>
      <c r="V24" s="1590"/>
      <c r="W24" s="1589"/>
      <c r="X24" s="1590"/>
      <c r="Y24" s="1589"/>
      <c r="Z24" s="1590"/>
      <c r="AA24" s="1589"/>
      <c r="AB24" s="1590"/>
      <c r="AC24" s="1589"/>
      <c r="AD24" s="1590"/>
      <c r="AE24" s="1589"/>
    </row>
    <row r="25" spans="2:31" ht="14.5" x14ac:dyDescent="0.35">
      <c r="B25" s="1520" t="s">
        <v>55</v>
      </c>
      <c r="C25" s="1597"/>
      <c r="D25" s="1598"/>
      <c r="E25" s="1598"/>
      <c r="F25" s="1598"/>
      <c r="G25" s="1598"/>
      <c r="H25" s="1598"/>
      <c r="I25" s="1598"/>
      <c r="J25" s="1598"/>
      <c r="K25" s="1598"/>
      <c r="M25" s="1520" t="s">
        <v>56</v>
      </c>
      <c r="N25" s="1588"/>
      <c r="O25" s="1589"/>
      <c r="P25" s="1590"/>
      <c r="Q25" s="1589"/>
      <c r="R25" s="1590"/>
      <c r="S25" s="1589"/>
      <c r="T25" s="1590"/>
      <c r="U25" s="1589"/>
      <c r="V25" s="1590"/>
      <c r="W25" s="1589"/>
      <c r="X25" s="1590"/>
      <c r="Y25" s="1589"/>
      <c r="Z25" s="1590"/>
      <c r="AA25" s="1589"/>
      <c r="AB25" s="1590"/>
      <c r="AC25" s="1589"/>
      <c r="AD25" s="1590"/>
      <c r="AE25" s="1589"/>
    </row>
    <row r="26" spans="2:31" ht="14.5" x14ac:dyDescent="0.35">
      <c r="B26" s="1520" t="s">
        <v>57</v>
      </c>
      <c r="C26" s="1597"/>
      <c r="D26" s="1598"/>
      <c r="E26" s="1598"/>
      <c r="F26" s="1598"/>
      <c r="G26" s="1598"/>
      <c r="H26" s="1598"/>
      <c r="I26" s="1598"/>
      <c r="J26" s="1598"/>
      <c r="K26" s="1598"/>
      <c r="M26" s="1520" t="s">
        <v>58</v>
      </c>
      <c r="N26" s="1588"/>
      <c r="O26" s="1589"/>
      <c r="P26" s="1590"/>
      <c r="Q26" s="1589"/>
      <c r="R26" s="1590"/>
      <c r="S26" s="1589"/>
      <c r="T26" s="1590"/>
      <c r="U26" s="1589"/>
      <c r="V26" s="1590"/>
      <c r="W26" s="1589"/>
      <c r="X26" s="1590"/>
      <c r="Y26" s="1589"/>
      <c r="Z26" s="1590"/>
      <c r="AA26" s="1589"/>
      <c r="AB26" s="1590"/>
      <c r="AC26" s="1589"/>
      <c r="AD26" s="1590"/>
      <c r="AE26" s="1589"/>
    </row>
    <row r="27" spans="2:31" ht="24" customHeight="1" x14ac:dyDescent="0.35">
      <c r="B27" s="1518" t="s">
        <v>59</v>
      </c>
      <c r="C27" s="189">
        <f>+SUM(C28:C32)</f>
        <v>0</v>
      </c>
      <c r="D27" s="190">
        <f t="shared" ref="D27:H27" si="16">+SUM(D28:D32)</f>
        <v>0</v>
      </c>
      <c r="E27" s="190">
        <f t="shared" si="16"/>
        <v>0</v>
      </c>
      <c r="F27" s="190">
        <f t="shared" si="16"/>
        <v>0</v>
      </c>
      <c r="G27" s="190">
        <f t="shared" si="16"/>
        <v>0</v>
      </c>
      <c r="H27" s="190">
        <f t="shared" si="16"/>
        <v>0</v>
      </c>
      <c r="I27" s="190">
        <f t="shared" ref="I27:K27" si="17">+SUM(I28:I32)</f>
        <v>0</v>
      </c>
      <c r="J27" s="190">
        <f t="shared" si="17"/>
        <v>0</v>
      </c>
      <c r="K27" s="190">
        <f t="shared" si="17"/>
        <v>0</v>
      </c>
      <c r="M27" s="1522" t="s">
        <v>60</v>
      </c>
      <c r="N27" s="1588"/>
      <c r="O27" s="1589"/>
      <c r="P27" s="1590"/>
      <c r="Q27" s="1589"/>
      <c r="R27" s="1590"/>
      <c r="S27" s="1589"/>
      <c r="T27" s="1590"/>
      <c r="U27" s="1589"/>
      <c r="V27" s="1590"/>
      <c r="W27" s="1589"/>
      <c r="X27" s="1590"/>
      <c r="Y27" s="1589"/>
      <c r="Z27" s="1590"/>
      <c r="AA27" s="1589"/>
      <c r="AB27" s="1590"/>
      <c r="AC27" s="1589"/>
      <c r="AD27" s="1590"/>
      <c r="AE27" s="1589"/>
    </row>
    <row r="28" spans="2:31" ht="14.5" x14ac:dyDescent="0.35">
      <c r="B28" s="1520" t="s">
        <v>61</v>
      </c>
      <c r="C28" s="1597"/>
      <c r="D28" s="1598"/>
      <c r="E28" s="1598"/>
      <c r="F28" s="1598"/>
      <c r="G28" s="1598"/>
      <c r="H28" s="1598"/>
      <c r="I28" s="1598"/>
      <c r="J28" s="1598"/>
      <c r="K28" s="1598"/>
      <c r="M28" s="1522" t="s">
        <v>62</v>
      </c>
      <c r="N28" s="1588"/>
      <c r="O28" s="1589"/>
      <c r="P28" s="1590"/>
      <c r="Q28" s="1589"/>
      <c r="R28" s="1590"/>
      <c r="S28" s="1589"/>
      <c r="T28" s="1590"/>
      <c r="U28" s="1589"/>
      <c r="V28" s="1590"/>
      <c r="W28" s="1589"/>
      <c r="X28" s="1590"/>
      <c r="Y28" s="1589"/>
      <c r="Z28" s="1590"/>
      <c r="AA28" s="1589"/>
      <c r="AB28" s="1590"/>
      <c r="AC28" s="1589"/>
      <c r="AD28" s="1590"/>
      <c r="AE28" s="1589"/>
    </row>
    <row r="29" spans="2:31" ht="14.5" x14ac:dyDescent="0.35">
      <c r="B29" s="1520" t="s">
        <v>63</v>
      </c>
      <c r="C29" s="1597"/>
      <c r="D29" s="1598"/>
      <c r="E29" s="1598"/>
      <c r="F29" s="1598"/>
      <c r="G29" s="1598"/>
      <c r="H29" s="1598"/>
      <c r="I29" s="1598"/>
      <c r="J29" s="1598"/>
      <c r="K29" s="1598"/>
      <c r="M29" s="1522" t="s">
        <v>64</v>
      </c>
      <c r="N29" s="1588"/>
      <c r="O29" s="1589"/>
      <c r="P29" s="1590"/>
      <c r="Q29" s="1589"/>
      <c r="R29" s="1590"/>
      <c r="S29" s="1589"/>
      <c r="T29" s="1590"/>
      <c r="U29" s="1589"/>
      <c r="V29" s="1590"/>
      <c r="W29" s="1589"/>
      <c r="X29" s="1590"/>
      <c r="Y29" s="1589"/>
      <c r="Z29" s="1590"/>
      <c r="AA29" s="1589"/>
      <c r="AB29" s="1590"/>
      <c r="AC29" s="1589"/>
      <c r="AD29" s="1590"/>
      <c r="AE29" s="1589"/>
    </row>
    <row r="30" spans="2:31" ht="14.5" x14ac:dyDescent="0.35">
      <c r="B30" s="1520" t="s">
        <v>65</v>
      </c>
      <c r="C30" s="1597"/>
      <c r="D30" s="1598"/>
      <c r="E30" s="1598"/>
      <c r="F30" s="1598"/>
      <c r="G30" s="1598"/>
      <c r="H30" s="1598"/>
      <c r="I30" s="1598"/>
      <c r="J30" s="1598"/>
      <c r="K30" s="1598"/>
      <c r="M30" s="1521" t="s">
        <v>66</v>
      </c>
      <c r="N30" s="194">
        <f t="shared" ref="N30:AE30" si="18">+N17-N21</f>
        <v>0</v>
      </c>
      <c r="O30" s="195">
        <f t="shared" si="18"/>
        <v>0</v>
      </c>
      <c r="P30" s="196">
        <f t="shared" si="18"/>
        <v>0</v>
      </c>
      <c r="Q30" s="195">
        <f t="shared" si="18"/>
        <v>0</v>
      </c>
      <c r="R30" s="196">
        <f t="shared" si="18"/>
        <v>0</v>
      </c>
      <c r="S30" s="195">
        <f t="shared" si="18"/>
        <v>0</v>
      </c>
      <c r="T30" s="196">
        <f t="shared" si="18"/>
        <v>0</v>
      </c>
      <c r="U30" s="195">
        <f t="shared" si="18"/>
        <v>0</v>
      </c>
      <c r="V30" s="196">
        <f t="shared" si="18"/>
        <v>0</v>
      </c>
      <c r="W30" s="195">
        <f t="shared" si="18"/>
        <v>0</v>
      </c>
      <c r="X30" s="196">
        <f t="shared" si="18"/>
        <v>0</v>
      </c>
      <c r="Y30" s="195">
        <f t="shared" si="18"/>
        <v>0</v>
      </c>
      <c r="Z30" s="196">
        <f t="shared" si="18"/>
        <v>0</v>
      </c>
      <c r="AA30" s="195">
        <f t="shared" si="18"/>
        <v>0</v>
      </c>
      <c r="AB30" s="196">
        <f t="shared" si="18"/>
        <v>0</v>
      </c>
      <c r="AC30" s="195">
        <f t="shared" si="18"/>
        <v>0</v>
      </c>
      <c r="AD30" s="196">
        <f t="shared" si="18"/>
        <v>0</v>
      </c>
      <c r="AE30" s="195">
        <f t="shared" si="18"/>
        <v>0</v>
      </c>
    </row>
    <row r="31" spans="2:31" ht="14.5" x14ac:dyDescent="0.35">
      <c r="B31" s="1520" t="s">
        <v>67</v>
      </c>
      <c r="C31" s="1597"/>
      <c r="D31" s="1598"/>
      <c r="E31" s="1598"/>
      <c r="F31" s="1598"/>
      <c r="G31" s="1598"/>
      <c r="H31" s="1598"/>
      <c r="I31" s="1598"/>
      <c r="J31" s="1598"/>
      <c r="K31" s="1598"/>
      <c r="M31" s="1518" t="s">
        <v>68</v>
      </c>
      <c r="N31" s="194">
        <f>+N32-N33</f>
        <v>0</v>
      </c>
      <c r="O31" s="195">
        <f>+O32-O33</f>
        <v>0</v>
      </c>
      <c r="P31" s="196">
        <f t="shared" ref="P31:AE31" si="19">+P32-P33</f>
        <v>0</v>
      </c>
      <c r="Q31" s="195">
        <f t="shared" si="19"/>
        <v>0</v>
      </c>
      <c r="R31" s="196">
        <f t="shared" si="19"/>
        <v>0</v>
      </c>
      <c r="S31" s="195">
        <f t="shared" si="19"/>
        <v>0</v>
      </c>
      <c r="T31" s="196">
        <f t="shared" si="19"/>
        <v>0</v>
      </c>
      <c r="U31" s="195">
        <f t="shared" si="19"/>
        <v>0</v>
      </c>
      <c r="V31" s="196">
        <f t="shared" si="19"/>
        <v>0</v>
      </c>
      <c r="W31" s="195">
        <f t="shared" si="19"/>
        <v>0</v>
      </c>
      <c r="X31" s="196">
        <f t="shared" si="19"/>
        <v>0</v>
      </c>
      <c r="Y31" s="195">
        <f t="shared" si="19"/>
        <v>0</v>
      </c>
      <c r="Z31" s="196">
        <f t="shared" si="19"/>
        <v>0</v>
      </c>
      <c r="AA31" s="195">
        <f t="shared" si="19"/>
        <v>0</v>
      </c>
      <c r="AB31" s="196">
        <f t="shared" si="19"/>
        <v>0</v>
      </c>
      <c r="AC31" s="195">
        <f t="shared" si="19"/>
        <v>0</v>
      </c>
      <c r="AD31" s="196">
        <f t="shared" si="19"/>
        <v>0</v>
      </c>
      <c r="AE31" s="195">
        <f t="shared" si="19"/>
        <v>0</v>
      </c>
    </row>
    <row r="32" spans="2:31" ht="14.5" x14ac:dyDescent="0.35">
      <c r="B32" s="1520" t="s">
        <v>69</v>
      </c>
      <c r="C32" s="1597"/>
      <c r="D32" s="1598"/>
      <c r="E32" s="1598"/>
      <c r="F32" s="1598"/>
      <c r="G32" s="1598"/>
      <c r="H32" s="1598"/>
      <c r="I32" s="1598"/>
      <c r="J32" s="1598"/>
      <c r="K32" s="1598"/>
      <c r="M32" s="1520" t="s">
        <v>70</v>
      </c>
      <c r="N32" s="1591"/>
      <c r="O32" s="1592"/>
      <c r="P32" s="1593"/>
      <c r="Q32" s="1592"/>
      <c r="R32" s="1593"/>
      <c r="S32" s="1592"/>
      <c r="T32" s="1593"/>
      <c r="U32" s="1592"/>
      <c r="V32" s="1593"/>
      <c r="W32" s="1592"/>
      <c r="X32" s="1593"/>
      <c r="Y32" s="1592"/>
      <c r="Z32" s="1593"/>
      <c r="AA32" s="1592"/>
      <c r="AB32" s="1593"/>
      <c r="AC32" s="1592"/>
      <c r="AD32" s="1593"/>
      <c r="AE32" s="1592"/>
    </row>
    <row r="33" spans="2:31" ht="14.5" x14ac:dyDescent="0.35">
      <c r="B33" s="1518" t="s">
        <v>71</v>
      </c>
      <c r="C33" s="189">
        <f>+SUM(C34:C38)</f>
        <v>0</v>
      </c>
      <c r="D33" s="190">
        <f t="shared" ref="D33:K33" si="20">+SUM(D34:D38)</f>
        <v>0</v>
      </c>
      <c r="E33" s="190">
        <f t="shared" si="20"/>
        <v>0</v>
      </c>
      <c r="F33" s="190">
        <f t="shared" si="20"/>
        <v>0</v>
      </c>
      <c r="G33" s="190">
        <f t="shared" si="20"/>
        <v>0</v>
      </c>
      <c r="H33" s="190">
        <f t="shared" si="20"/>
        <v>0</v>
      </c>
      <c r="I33" s="190">
        <f t="shared" si="20"/>
        <v>0</v>
      </c>
      <c r="J33" s="190">
        <f t="shared" si="20"/>
        <v>0</v>
      </c>
      <c r="K33" s="190">
        <f t="shared" si="20"/>
        <v>0</v>
      </c>
      <c r="M33" s="1520" t="s">
        <v>72</v>
      </c>
      <c r="N33" s="1591"/>
      <c r="O33" s="1592"/>
      <c r="P33" s="1593"/>
      <c r="Q33" s="1592"/>
      <c r="R33" s="1593"/>
      <c r="S33" s="1592"/>
      <c r="T33" s="1593"/>
      <c r="U33" s="1592"/>
      <c r="V33" s="1593"/>
      <c r="W33" s="1592"/>
      <c r="X33" s="1593"/>
      <c r="Y33" s="1592"/>
      <c r="Z33" s="1593"/>
      <c r="AA33" s="1592"/>
      <c r="AB33" s="1593"/>
      <c r="AC33" s="1592"/>
      <c r="AD33" s="1593"/>
      <c r="AE33" s="1592"/>
    </row>
    <row r="34" spans="2:31" ht="14.5" x14ac:dyDescent="0.35">
      <c r="B34" s="1518" t="s">
        <v>73</v>
      </c>
      <c r="C34" s="1597"/>
      <c r="D34" s="1598"/>
      <c r="E34" s="1598"/>
      <c r="F34" s="1598"/>
      <c r="G34" s="1598"/>
      <c r="H34" s="1598"/>
      <c r="I34" s="1598"/>
      <c r="J34" s="1598"/>
      <c r="K34" s="1598"/>
      <c r="M34" s="1520" t="s">
        <v>74</v>
      </c>
      <c r="N34" s="1588"/>
      <c r="O34" s="1589"/>
      <c r="P34" s="1590"/>
      <c r="Q34" s="1589"/>
      <c r="R34" s="1590"/>
      <c r="S34" s="1589"/>
      <c r="T34" s="1590"/>
      <c r="U34" s="1589"/>
      <c r="V34" s="1590"/>
      <c r="W34" s="1589"/>
      <c r="X34" s="1590"/>
      <c r="Y34" s="1589"/>
      <c r="Z34" s="1590"/>
      <c r="AA34" s="1589"/>
      <c r="AB34" s="1590"/>
      <c r="AC34" s="1589"/>
      <c r="AD34" s="1590"/>
      <c r="AE34" s="1589"/>
    </row>
    <row r="35" spans="2:31" ht="14.5" x14ac:dyDescent="0.35">
      <c r="B35" s="1518" t="s">
        <v>75</v>
      </c>
      <c r="C35" s="1597"/>
      <c r="D35" s="1598"/>
      <c r="E35" s="1598"/>
      <c r="F35" s="1598"/>
      <c r="G35" s="1598"/>
      <c r="H35" s="1598"/>
      <c r="I35" s="1598"/>
      <c r="J35" s="1598"/>
      <c r="K35" s="1598"/>
      <c r="M35" s="1521" t="s">
        <v>76</v>
      </c>
      <c r="N35" s="194">
        <f>N30+N31+N34</f>
        <v>0</v>
      </c>
      <c r="O35" s="195">
        <f>O30+O31+O34</f>
        <v>0</v>
      </c>
      <c r="P35" s="196">
        <f>P30+P31+P34</f>
        <v>0</v>
      </c>
      <c r="Q35" s="195">
        <f t="shared" ref="Q35:AE35" si="21">Q30+Q31+Q34</f>
        <v>0</v>
      </c>
      <c r="R35" s="196">
        <f t="shared" si="21"/>
        <v>0</v>
      </c>
      <c r="S35" s="195">
        <f t="shared" si="21"/>
        <v>0</v>
      </c>
      <c r="T35" s="196">
        <f t="shared" si="21"/>
        <v>0</v>
      </c>
      <c r="U35" s="195">
        <f t="shared" si="21"/>
        <v>0</v>
      </c>
      <c r="V35" s="196">
        <f t="shared" si="21"/>
        <v>0</v>
      </c>
      <c r="W35" s="195">
        <f t="shared" si="21"/>
        <v>0</v>
      </c>
      <c r="X35" s="196">
        <f t="shared" si="21"/>
        <v>0</v>
      </c>
      <c r="Y35" s="195">
        <f t="shared" si="21"/>
        <v>0</v>
      </c>
      <c r="Z35" s="196">
        <f t="shared" si="21"/>
        <v>0</v>
      </c>
      <c r="AA35" s="195">
        <f t="shared" si="21"/>
        <v>0</v>
      </c>
      <c r="AB35" s="196">
        <f t="shared" si="21"/>
        <v>0</v>
      </c>
      <c r="AC35" s="195">
        <f t="shared" si="21"/>
        <v>0</v>
      </c>
      <c r="AD35" s="196">
        <f t="shared" si="21"/>
        <v>0</v>
      </c>
      <c r="AE35" s="195">
        <f t="shared" si="21"/>
        <v>0</v>
      </c>
    </row>
    <row r="36" spans="2:31" ht="15" thickBot="1" x14ac:dyDescent="0.4">
      <c r="B36" s="1520" t="s">
        <v>77</v>
      </c>
      <c r="C36" s="1597"/>
      <c r="D36" s="1598"/>
      <c r="E36" s="1598"/>
      <c r="F36" s="1598"/>
      <c r="G36" s="1598"/>
      <c r="H36" s="1598"/>
      <c r="I36" s="1598"/>
      <c r="J36" s="1598"/>
      <c r="K36" s="1598"/>
      <c r="M36" s="1521" t="s">
        <v>78</v>
      </c>
      <c r="N36" s="1594"/>
      <c r="O36" s="1595"/>
      <c r="P36" s="1596"/>
      <c r="Q36" s="1595"/>
      <c r="R36" s="1596"/>
      <c r="S36" s="1595"/>
      <c r="T36" s="1596"/>
      <c r="U36" s="1595"/>
      <c r="V36" s="1596"/>
      <c r="W36" s="1595"/>
      <c r="X36" s="1596"/>
      <c r="Y36" s="1595"/>
      <c r="Z36" s="1596"/>
      <c r="AA36" s="1595"/>
      <c r="AB36" s="1596"/>
      <c r="AC36" s="1595"/>
      <c r="AD36" s="1596"/>
      <c r="AE36" s="1595"/>
    </row>
    <row r="37" spans="2:31" ht="15.5" thickTop="1" thickBot="1" x14ac:dyDescent="0.4">
      <c r="B37" s="1520" t="s">
        <v>79</v>
      </c>
      <c r="C37" s="1597"/>
      <c r="D37" s="1598"/>
      <c r="E37" s="1598"/>
      <c r="F37" s="1598"/>
      <c r="G37" s="1598"/>
      <c r="H37" s="1598"/>
      <c r="I37" s="1598"/>
      <c r="J37" s="1598"/>
      <c r="K37" s="1598"/>
      <c r="M37" s="1523" t="s">
        <v>80</v>
      </c>
      <c r="N37" s="203">
        <f>+N35-N36</f>
        <v>0</v>
      </c>
      <c r="O37" s="204">
        <f>+O35-O36</f>
        <v>0</v>
      </c>
      <c r="P37" s="205">
        <f>+P35-P36</f>
        <v>0</v>
      </c>
      <c r="Q37" s="204">
        <f t="shared" ref="Q37:AE37" si="22">+Q35-Q36</f>
        <v>0</v>
      </c>
      <c r="R37" s="205">
        <f t="shared" si="22"/>
        <v>0</v>
      </c>
      <c r="S37" s="204">
        <f t="shared" si="22"/>
        <v>0</v>
      </c>
      <c r="T37" s="205">
        <f t="shared" si="22"/>
        <v>0</v>
      </c>
      <c r="U37" s="204">
        <f t="shared" si="22"/>
        <v>0</v>
      </c>
      <c r="V37" s="205">
        <f t="shared" si="22"/>
        <v>0</v>
      </c>
      <c r="W37" s="204">
        <f t="shared" si="22"/>
        <v>0</v>
      </c>
      <c r="X37" s="205">
        <f t="shared" si="22"/>
        <v>0</v>
      </c>
      <c r="Y37" s="204">
        <f t="shared" si="22"/>
        <v>0</v>
      </c>
      <c r="Z37" s="205">
        <f t="shared" si="22"/>
        <v>0</v>
      </c>
      <c r="AA37" s="204">
        <f t="shared" si="22"/>
        <v>0</v>
      </c>
      <c r="AB37" s="205">
        <f t="shared" si="22"/>
        <v>0</v>
      </c>
      <c r="AC37" s="204">
        <f t="shared" si="22"/>
        <v>0</v>
      </c>
      <c r="AD37" s="205">
        <f t="shared" si="22"/>
        <v>0</v>
      </c>
      <c r="AE37" s="204">
        <f t="shared" si="22"/>
        <v>0</v>
      </c>
    </row>
    <row r="38" spans="2:31" ht="14.5" x14ac:dyDescent="0.35">
      <c r="B38" s="1518" t="s">
        <v>81</v>
      </c>
      <c r="C38" s="1597"/>
      <c r="D38" s="1598"/>
      <c r="E38" s="1598"/>
      <c r="F38" s="1598"/>
      <c r="G38" s="1598"/>
      <c r="H38" s="1598"/>
      <c r="I38" s="1598"/>
      <c r="J38" s="1598"/>
      <c r="K38" s="1598"/>
    </row>
    <row r="39" spans="2:31" ht="14.5" x14ac:dyDescent="0.35">
      <c r="B39" s="1521" t="s">
        <v>82</v>
      </c>
      <c r="C39" s="189">
        <f>+C40+C41+C45+C46+C42</f>
        <v>0</v>
      </c>
      <c r="D39" s="189">
        <f t="shared" ref="D39:J39" si="23">+D40+D41+D45+D46+D42</f>
        <v>0</v>
      </c>
      <c r="E39" s="189">
        <f t="shared" si="23"/>
        <v>0</v>
      </c>
      <c r="F39" s="189">
        <f>+F40+F41+F45+F46+F42</f>
        <v>0</v>
      </c>
      <c r="G39" s="189">
        <f>+G40+G41+G45+G46+G42</f>
        <v>0</v>
      </c>
      <c r="H39" s="189">
        <f t="shared" si="23"/>
        <v>0</v>
      </c>
      <c r="I39" s="189">
        <f t="shared" si="23"/>
        <v>0</v>
      </c>
      <c r="J39" s="189">
        <f t="shared" si="23"/>
        <v>0</v>
      </c>
      <c r="K39" s="189">
        <f>+K40+K41+K45+K46+K42</f>
        <v>0</v>
      </c>
      <c r="N39" s="1524"/>
      <c r="O39" s="1524"/>
      <c r="P39" s="1524"/>
      <c r="Q39" s="1524"/>
      <c r="R39" s="1524"/>
      <c r="S39" s="1524"/>
      <c r="T39" s="1524"/>
      <c r="U39" s="1524"/>
      <c r="V39" s="1524"/>
      <c r="W39" s="1524"/>
      <c r="X39" s="1524"/>
      <c r="Y39" s="1524"/>
      <c r="Z39" s="1524"/>
      <c r="AA39" s="1524"/>
      <c r="AB39" s="1524"/>
      <c r="AC39" s="1524"/>
      <c r="AD39" s="1524"/>
      <c r="AE39" s="1524"/>
    </row>
    <row r="40" spans="2:31" ht="14.5" x14ac:dyDescent="0.35">
      <c r="B40" s="1518" t="s">
        <v>83</v>
      </c>
      <c r="C40" s="1597"/>
      <c r="D40" s="1598"/>
      <c r="E40" s="1598"/>
      <c r="F40" s="1598"/>
      <c r="G40" s="1598"/>
      <c r="H40" s="1598"/>
      <c r="I40" s="1598"/>
      <c r="J40" s="1598"/>
      <c r="K40" s="1598"/>
      <c r="V40" s="206"/>
      <c r="W40" s="206"/>
      <c r="X40" s="206"/>
    </row>
    <row r="41" spans="2:31" ht="15" thickBot="1" x14ac:dyDescent="0.4">
      <c r="B41" s="1518" t="s">
        <v>84</v>
      </c>
      <c r="C41" s="1597"/>
      <c r="D41" s="1598"/>
      <c r="E41" s="1598"/>
      <c r="F41" s="1598"/>
      <c r="G41" s="1598"/>
      <c r="H41" s="1598"/>
      <c r="I41" s="1598"/>
      <c r="J41" s="1598"/>
      <c r="K41" s="1598"/>
      <c r="N41" s="1525" t="s">
        <v>85</v>
      </c>
      <c r="O41" s="1525" t="s">
        <v>86</v>
      </c>
      <c r="P41" s="1525" t="s">
        <v>87</v>
      </c>
      <c r="Q41" s="1525" t="s">
        <v>88</v>
      </c>
      <c r="R41" s="1525" t="str">
        <f>IF(MAX(N14:AE14)=3, "Anno a regime investimento","Anno 3°")</f>
        <v>Anno a regime investimento</v>
      </c>
      <c r="S41" s="1525" t="str">
        <f>IF(MAX(N14:AE14)=4,"Anno a regime investimento",IF(MAX(N14:AE14)&lt;4,"","Anno 4°"))</f>
        <v/>
      </c>
      <c r="T41" s="1525" t="str">
        <f>IF(MAX(N14:AE14)=5,"Anno a regime investimento",IF(MAX(N14:AE14)&lt;5,"","Anno 5°"))</f>
        <v/>
      </c>
    </row>
    <row r="42" spans="2:31" ht="15" thickBot="1" x14ac:dyDescent="0.4">
      <c r="B42" s="1518" t="s">
        <v>89</v>
      </c>
      <c r="C42" s="189">
        <f>+SUM(C43:C44)</f>
        <v>0</v>
      </c>
      <c r="D42" s="189">
        <f t="shared" ref="D42:J42" si="24">+SUM(D43:D44)</f>
        <v>0</v>
      </c>
      <c r="E42" s="189">
        <f t="shared" si="24"/>
        <v>0</v>
      </c>
      <c r="F42" s="189">
        <f t="shared" si="24"/>
        <v>0</v>
      </c>
      <c r="G42" s="189">
        <f t="shared" si="24"/>
        <v>0</v>
      </c>
      <c r="H42" s="189">
        <f t="shared" si="24"/>
        <v>0</v>
      </c>
      <c r="I42" s="189">
        <f t="shared" si="24"/>
        <v>0</v>
      </c>
      <c r="J42" s="189">
        <f t="shared" si="24"/>
        <v>0</v>
      </c>
      <c r="K42" s="189">
        <f>+SUM(K43:K44)</f>
        <v>0</v>
      </c>
      <c r="M42" s="1515" t="s">
        <v>90</v>
      </c>
    </row>
    <row r="43" spans="2:31" ht="14.5" x14ac:dyDescent="0.35">
      <c r="B43" s="1518" t="s">
        <v>91</v>
      </c>
      <c r="C43" s="1597"/>
      <c r="D43" s="1598"/>
      <c r="E43" s="1598"/>
      <c r="F43" s="1598"/>
      <c r="G43" s="1598"/>
      <c r="H43" s="1598"/>
      <c r="I43" s="1598"/>
      <c r="J43" s="1598"/>
      <c r="K43" s="1598"/>
      <c r="M43" s="1526" t="s">
        <v>92</v>
      </c>
      <c r="N43" s="1527">
        <f ca="1">IFERROR(OFFSET(M14,MATCH(M37,M15:M37,0),MATCH(-1,N14:AE14,0)),0)</f>
        <v>0</v>
      </c>
      <c r="O43" s="1528">
        <f ca="1">IFERROR(OFFSET(M14,MATCH(M37,M15:M37,0),MATCH(0,N14:AE14,0)),0)</f>
        <v>0</v>
      </c>
      <c r="P43" s="1528">
        <f ca="1">IFERROR(OFFSET(M14,MATCH(M37,M15:M37,0),MATCH(1,N14:AE14,0)),0)</f>
        <v>0</v>
      </c>
      <c r="Q43" s="1528">
        <f ca="1">IFERROR(OFFSET(M14,MATCH(M37,M15:M37,0),MATCH(2,N14:AE14,0)),0)</f>
        <v>0</v>
      </c>
      <c r="R43" s="1528">
        <f ca="1">IFERROR(OFFSET(M14,MATCH(M37,M15:M37,0),MATCH(3,N14:AE14,0)),0)</f>
        <v>0</v>
      </c>
      <c r="S43" s="1528">
        <f ca="1">IFERROR(OFFSET(M14,MATCH(M37,M15:M37,0),MATCH(4,N14:AE14,0)),0)</f>
        <v>0</v>
      </c>
      <c r="T43" s="1529">
        <f ca="1">IFERROR(OFFSET(M14,MATCH(M37,M15:M37,0),MATCH(5,N14:AE14,0)),0)</f>
        <v>0</v>
      </c>
    </row>
    <row r="44" spans="2:31" ht="14.5" x14ac:dyDescent="0.35">
      <c r="B44" s="1518" t="s">
        <v>93</v>
      </c>
      <c r="C44" s="1597"/>
      <c r="D44" s="1598"/>
      <c r="E44" s="1598"/>
      <c r="F44" s="1598"/>
      <c r="G44" s="1598"/>
      <c r="H44" s="1598"/>
      <c r="I44" s="1598"/>
      <c r="J44" s="1598"/>
      <c r="K44" s="1598"/>
      <c r="M44" s="1530" t="s">
        <v>94</v>
      </c>
      <c r="N44" s="1531">
        <f ca="1">IFERROR(OFFSET(M14,MATCH(M26,M15:M37,0),MATCH(-1,N14:AE14,0)),0)</f>
        <v>0</v>
      </c>
      <c r="O44" s="1532">
        <f ca="1">IFERROR(OFFSET(M14,MATCH(M26,M15:M37,0),MATCH(0,N14:AE14,0)),0)</f>
        <v>0</v>
      </c>
      <c r="P44" s="1532">
        <f ca="1">IFERROR(OFFSET(M14,MATCH(M26,M15:M37,0),MATCH(1,N14:AE14,0)),0)</f>
        <v>0</v>
      </c>
      <c r="Q44" s="1532">
        <f ca="1">IFERROR(OFFSET(M14,MATCH(M26,M15:M37,0),MATCH(2,N14:AE14,0)),0)</f>
        <v>0</v>
      </c>
      <c r="R44" s="1532">
        <f ca="1">IFERROR(OFFSET(M14,MATCH(M26,M15:M37,0),MATCH(3,N14:AE14,0)),0)</f>
        <v>0</v>
      </c>
      <c r="S44" s="1532">
        <f ca="1">IFERROR(OFFSET(M14,MATCH(M26,M15:M37,0),MATCH(4,N14:AE14,0)),0)</f>
        <v>0</v>
      </c>
      <c r="T44" s="1533">
        <f ca="1">IFERROR(OFFSET(M14,MATCH(M26,M15:M37,0),MATCH(5,N14:AE14,0)),0)</f>
        <v>0</v>
      </c>
    </row>
    <row r="45" spans="2:31" ht="14.5" x14ac:dyDescent="0.35">
      <c r="B45" s="1518" t="s">
        <v>95</v>
      </c>
      <c r="C45" s="1597"/>
      <c r="D45" s="1598"/>
      <c r="E45" s="1598"/>
      <c r="F45" s="1598"/>
      <c r="G45" s="1598"/>
      <c r="H45" s="1598"/>
      <c r="I45" s="1598"/>
      <c r="J45" s="1598"/>
      <c r="K45" s="1598"/>
      <c r="M45" s="1534" t="s">
        <v>96</v>
      </c>
      <c r="N45" s="1531">
        <f ca="1">IFERROR(OFFSET(M14,MATCH(M28,M15:M37,0),MATCH(-1,N14:AE14,0)),0)</f>
        <v>0</v>
      </c>
      <c r="O45" s="1532">
        <f ca="1">IFERROR(OFFSET(M14,MATCH(M28,M15:M37,0),MATCH(0,N14:AE14,0)),0)</f>
        <v>0</v>
      </c>
      <c r="P45" s="1532">
        <f ca="1">IFERROR(OFFSET(M14,MATCH(M28,M15:M37,0),MATCH(1,N14:AE14,0)),0)</f>
        <v>0</v>
      </c>
      <c r="Q45" s="1532">
        <f ca="1">IFERROR(OFFSET(M14,MATCH(M28,M15:M37,0),MATCH(2,N14:AE14,0)),0)</f>
        <v>0</v>
      </c>
      <c r="R45" s="1532">
        <f ca="1">IFERROR(OFFSET(M14,MATCH(M28,M15:M37,0),MATCH(3,N14:AE14,0)),0)</f>
        <v>0</v>
      </c>
      <c r="S45" s="1532">
        <f ca="1">IFERROR(OFFSET(M14,MATCH(M28,M15:M37,0),MATCH(4,N14:AE14,0)),0)</f>
        <v>0</v>
      </c>
      <c r="T45" s="1533">
        <f ca="1">IFERROR(OFFSET(M14,MATCH(M28,M15:M37,0),MATCH(5,N14:AE14,0)),0)</f>
        <v>0</v>
      </c>
    </row>
    <row r="46" spans="2:31" ht="14.5" x14ac:dyDescent="0.35">
      <c r="B46" s="1518" t="s">
        <v>97</v>
      </c>
      <c r="C46" s="1597"/>
      <c r="D46" s="1598"/>
      <c r="E46" s="1598"/>
      <c r="F46" s="1598"/>
      <c r="G46" s="1598"/>
      <c r="H46" s="1598"/>
      <c r="I46" s="1598"/>
      <c r="J46" s="1598"/>
      <c r="K46" s="1598"/>
      <c r="M46" s="1535" t="s">
        <v>98</v>
      </c>
      <c r="N46" s="1536">
        <f ca="1">SUM(N43:N45)</f>
        <v>0</v>
      </c>
      <c r="O46" s="1537">
        <f t="shared" ref="O46:T46" ca="1" si="25">SUM(O43:O45)</f>
        <v>0</v>
      </c>
      <c r="P46" s="1537">
        <f t="shared" ca="1" si="25"/>
        <v>0</v>
      </c>
      <c r="Q46" s="1537">
        <f t="shared" ca="1" si="25"/>
        <v>0</v>
      </c>
      <c r="R46" s="1537">
        <f t="shared" ca="1" si="25"/>
        <v>0</v>
      </c>
      <c r="S46" s="1537">
        <f t="shared" ca="1" si="25"/>
        <v>0</v>
      </c>
      <c r="T46" s="1538">
        <f t="shared" ca="1" si="25"/>
        <v>0</v>
      </c>
    </row>
    <row r="47" spans="2:31" ht="15" thickBot="1" x14ac:dyDescent="0.4">
      <c r="B47" s="1539" t="s">
        <v>99</v>
      </c>
      <c r="C47" s="1597"/>
      <c r="D47" s="1598"/>
      <c r="E47" s="1598"/>
      <c r="F47" s="1598"/>
      <c r="G47" s="1598"/>
      <c r="H47" s="1598"/>
      <c r="I47" s="1598"/>
      <c r="J47" s="1598"/>
      <c r="K47" s="1598"/>
      <c r="M47" s="1530" t="s">
        <v>100</v>
      </c>
      <c r="N47" s="1602"/>
      <c r="O47" s="1603"/>
      <c r="P47" s="1603"/>
      <c r="Q47" s="1603"/>
      <c r="R47" s="1603"/>
      <c r="S47" s="1603"/>
      <c r="T47" s="1604"/>
    </row>
    <row r="48" spans="2:31" ht="15" thickBot="1" x14ac:dyDescent="0.35">
      <c r="B48" s="1515" t="s">
        <v>101</v>
      </c>
      <c r="C48" s="219">
        <f>+C49+C52+C53+C54+C67</f>
        <v>0</v>
      </c>
      <c r="D48" s="178">
        <f t="shared" ref="D48:K48" si="26">+D49+D52+D53+D54+D67</f>
        <v>0</v>
      </c>
      <c r="E48" s="178">
        <f t="shared" si="26"/>
        <v>0</v>
      </c>
      <c r="F48" s="178">
        <f t="shared" si="26"/>
        <v>0</v>
      </c>
      <c r="G48" s="178">
        <f t="shared" si="26"/>
        <v>0</v>
      </c>
      <c r="H48" s="178">
        <f t="shared" si="26"/>
        <v>0</v>
      </c>
      <c r="I48" s="178">
        <f t="shared" si="26"/>
        <v>0</v>
      </c>
      <c r="J48" s="178">
        <f t="shared" si="26"/>
        <v>0</v>
      </c>
      <c r="K48" s="178">
        <f t="shared" si="26"/>
        <v>0</v>
      </c>
      <c r="M48" s="1535" t="s">
        <v>102</v>
      </c>
      <c r="N48" s="1531">
        <f>-N47</f>
        <v>0</v>
      </c>
      <c r="O48" s="1532">
        <f t="shared" ref="O48:T48" si="27">-O47</f>
        <v>0</v>
      </c>
      <c r="P48" s="1532">
        <f t="shared" si="27"/>
        <v>0</v>
      </c>
      <c r="Q48" s="1532">
        <f t="shared" si="27"/>
        <v>0</v>
      </c>
      <c r="R48" s="1532">
        <f t="shared" si="27"/>
        <v>0</v>
      </c>
      <c r="S48" s="1532">
        <f t="shared" si="27"/>
        <v>0</v>
      </c>
      <c r="T48" s="1533">
        <f t="shared" si="27"/>
        <v>0</v>
      </c>
    </row>
    <row r="49" spans="2:20" ht="14.5" x14ac:dyDescent="0.35">
      <c r="B49" s="1516" t="s">
        <v>103</v>
      </c>
      <c r="C49" s="189">
        <f>+C50+C51</f>
        <v>0</v>
      </c>
      <c r="D49" s="190">
        <f t="shared" ref="D49:K49" si="28">+D50+D51</f>
        <v>0</v>
      </c>
      <c r="E49" s="190">
        <f t="shared" si="28"/>
        <v>0</v>
      </c>
      <c r="F49" s="190">
        <f t="shared" si="28"/>
        <v>0</v>
      </c>
      <c r="G49" s="190">
        <f t="shared" si="28"/>
        <v>0</v>
      </c>
      <c r="H49" s="190">
        <f t="shared" si="28"/>
        <v>0</v>
      </c>
      <c r="I49" s="190">
        <f t="shared" si="28"/>
        <v>0</v>
      </c>
      <c r="J49" s="190">
        <f t="shared" si="28"/>
        <v>0</v>
      </c>
      <c r="K49" s="190">
        <f t="shared" si="28"/>
        <v>0</v>
      </c>
      <c r="M49" s="1540" t="s">
        <v>104</v>
      </c>
      <c r="N49" s="1829"/>
      <c r="O49" s="1830"/>
      <c r="P49" s="1830"/>
      <c r="Q49" s="1830"/>
      <c r="R49" s="1830"/>
      <c r="S49" s="1830"/>
      <c r="T49" s="1831"/>
    </row>
    <row r="50" spans="2:20" ht="14.5" x14ac:dyDescent="0.35">
      <c r="B50" s="1518" t="s">
        <v>105</v>
      </c>
      <c r="C50" s="1597"/>
      <c r="D50" s="1598"/>
      <c r="E50" s="1598"/>
      <c r="F50" s="1598"/>
      <c r="G50" s="1598"/>
      <c r="H50" s="1598"/>
      <c r="I50" s="1598"/>
      <c r="J50" s="1598"/>
      <c r="K50" s="1598"/>
      <c r="M50" s="1541" t="s">
        <v>106</v>
      </c>
      <c r="N50" s="1605"/>
      <c r="O50" s="1606"/>
      <c r="P50" s="1606"/>
      <c r="Q50" s="1606"/>
      <c r="R50" s="1606"/>
      <c r="S50" s="1606"/>
      <c r="T50" s="1607"/>
    </row>
    <row r="51" spans="2:20" ht="14.5" x14ac:dyDescent="0.35">
      <c r="B51" s="1518" t="s">
        <v>107</v>
      </c>
      <c r="C51" s="1597"/>
      <c r="D51" s="1598"/>
      <c r="E51" s="1598"/>
      <c r="F51" s="1598"/>
      <c r="G51" s="1598"/>
      <c r="H51" s="1598"/>
      <c r="I51" s="1598"/>
      <c r="J51" s="1598"/>
      <c r="K51" s="1598"/>
      <c r="M51" s="1541" t="s">
        <v>108</v>
      </c>
      <c r="N51" s="1605"/>
      <c r="O51" s="1606"/>
      <c r="P51" s="1606"/>
      <c r="Q51" s="1606"/>
      <c r="R51" s="1606"/>
      <c r="S51" s="1606"/>
      <c r="T51" s="1607"/>
    </row>
    <row r="52" spans="2:20" ht="14.5" x14ac:dyDescent="0.35">
      <c r="B52" s="1521" t="s">
        <v>109</v>
      </c>
      <c r="C52" s="1597"/>
      <c r="D52" s="1598"/>
      <c r="E52" s="1598"/>
      <c r="F52" s="1598"/>
      <c r="G52" s="1598"/>
      <c r="H52" s="1598"/>
      <c r="I52" s="1598"/>
      <c r="J52" s="1598"/>
      <c r="K52" s="1598"/>
      <c r="M52" s="1541" t="s">
        <v>110</v>
      </c>
      <c r="N52" s="1605"/>
      <c r="O52" s="1606"/>
      <c r="P52" s="1606"/>
      <c r="Q52" s="1606"/>
      <c r="R52" s="1606"/>
      <c r="S52" s="1606"/>
      <c r="T52" s="1607"/>
    </row>
    <row r="53" spans="2:20" ht="14.5" x14ac:dyDescent="0.35">
      <c r="B53" s="1521" t="s">
        <v>111</v>
      </c>
      <c r="C53" s="1597"/>
      <c r="D53" s="1598"/>
      <c r="E53" s="1598"/>
      <c r="F53" s="1598"/>
      <c r="G53" s="1598"/>
      <c r="H53" s="1598"/>
      <c r="I53" s="1598"/>
      <c r="J53" s="1598"/>
      <c r="K53" s="1598"/>
      <c r="M53" s="1541" t="s">
        <v>112</v>
      </c>
      <c r="N53" s="1542"/>
      <c r="O53" s="1543"/>
      <c r="P53" s="1563">
        <f>+'FONTI - IMPIEGHI'!C36</f>
        <v>0</v>
      </c>
      <c r="Q53" s="1564">
        <f>+'FONTI - IMPIEGHI'!D36</f>
        <v>0</v>
      </c>
      <c r="R53" s="1543"/>
      <c r="S53" s="1543"/>
      <c r="T53" s="1544"/>
    </row>
    <row r="54" spans="2:20" ht="14.5" x14ac:dyDescent="0.35">
      <c r="B54" s="1521" t="s">
        <v>113</v>
      </c>
      <c r="C54" s="189">
        <f>+C55+C58+C61+C64</f>
        <v>0</v>
      </c>
      <c r="D54" s="190">
        <f>+D55+D58+D61+D64</f>
        <v>0</v>
      </c>
      <c r="E54" s="190">
        <f t="shared" ref="E54:K54" si="29">+E55+E58+E61+E64</f>
        <v>0</v>
      </c>
      <c r="F54" s="190">
        <f t="shared" si="29"/>
        <v>0</v>
      </c>
      <c r="G54" s="190">
        <f t="shared" si="29"/>
        <v>0</v>
      </c>
      <c r="H54" s="190">
        <f t="shared" si="29"/>
        <v>0</v>
      </c>
      <c r="I54" s="190">
        <f t="shared" si="29"/>
        <v>0</v>
      </c>
      <c r="J54" s="190">
        <f t="shared" si="29"/>
        <v>0</v>
      </c>
      <c r="K54" s="190">
        <f t="shared" si="29"/>
        <v>0</v>
      </c>
      <c r="M54" s="1541" t="s">
        <v>114</v>
      </c>
      <c r="N54" s="1542"/>
      <c r="O54" s="1543"/>
      <c r="P54" s="1564">
        <f>+'FONTI - IMPIEGHI'!C37</f>
        <v>0</v>
      </c>
      <c r="Q54" s="1564">
        <f>+'FONTI - IMPIEGHI'!D37</f>
        <v>0</v>
      </c>
      <c r="R54" s="1543"/>
      <c r="S54" s="1543"/>
      <c r="T54" s="1544"/>
    </row>
    <row r="55" spans="2:20" ht="14.5" x14ac:dyDescent="0.35">
      <c r="B55" s="1518" t="s">
        <v>115</v>
      </c>
      <c r="C55" s="189">
        <f>+C56+C57</f>
        <v>0</v>
      </c>
      <c r="D55" s="190">
        <f t="shared" ref="D55:K55" si="30">+D56+D57</f>
        <v>0</v>
      </c>
      <c r="E55" s="190">
        <f t="shared" si="30"/>
        <v>0</v>
      </c>
      <c r="F55" s="190">
        <f t="shared" si="30"/>
        <v>0</v>
      </c>
      <c r="G55" s="190">
        <f t="shared" si="30"/>
        <v>0</v>
      </c>
      <c r="H55" s="190">
        <f t="shared" si="30"/>
        <v>0</v>
      </c>
      <c r="I55" s="190">
        <f t="shared" si="30"/>
        <v>0</v>
      </c>
      <c r="J55" s="190">
        <f t="shared" si="30"/>
        <v>0</v>
      </c>
      <c r="K55" s="190">
        <f t="shared" si="30"/>
        <v>0</v>
      </c>
      <c r="M55" s="1534" t="s">
        <v>116</v>
      </c>
      <c r="N55" s="1605"/>
      <c r="O55" s="1606"/>
      <c r="P55" s="1606"/>
      <c r="Q55" s="1606"/>
      <c r="R55" s="1606"/>
      <c r="S55" s="1606"/>
      <c r="T55" s="1607"/>
    </row>
    <row r="56" spans="2:20" ht="14.5" x14ac:dyDescent="0.35">
      <c r="B56" s="1518" t="s">
        <v>117</v>
      </c>
      <c r="C56" s="1597"/>
      <c r="D56" s="1598"/>
      <c r="E56" s="1598"/>
      <c r="F56" s="1598"/>
      <c r="G56" s="1598"/>
      <c r="H56" s="1598"/>
      <c r="I56" s="1598"/>
      <c r="J56" s="1598"/>
      <c r="K56" s="1598"/>
      <c r="M56" s="1545" t="s">
        <v>118</v>
      </c>
      <c r="N56" s="1542"/>
      <c r="O56" s="1543"/>
      <c r="P56" s="1543"/>
      <c r="Q56" s="1543"/>
      <c r="R56" s="1546">
        <f>(SUM($P$53:$Q$53)/ESL_V2!B8)</f>
        <v>0</v>
      </c>
      <c r="S56" s="1546">
        <f>(SUM($P$53:$Q$53)/10)</f>
        <v>0</v>
      </c>
      <c r="T56" s="1547">
        <f>(SUM($P$53:$Q$53)/10)</f>
        <v>0</v>
      </c>
    </row>
    <row r="57" spans="2:20" ht="14.5" x14ac:dyDescent="0.35">
      <c r="B57" s="1518" t="s">
        <v>119</v>
      </c>
      <c r="C57" s="1597"/>
      <c r="D57" s="1598"/>
      <c r="E57" s="1598"/>
      <c r="F57" s="1598"/>
      <c r="G57" s="1598"/>
      <c r="H57" s="1598"/>
      <c r="I57" s="1598"/>
      <c r="J57" s="1598"/>
      <c r="K57" s="1598"/>
      <c r="M57" s="1534" t="s">
        <v>120</v>
      </c>
      <c r="N57" s="1605"/>
      <c r="O57" s="1606"/>
      <c r="P57" s="1606"/>
      <c r="Q57" s="1606"/>
      <c r="R57" s="1606"/>
      <c r="S57" s="1606"/>
      <c r="T57" s="1607"/>
    </row>
    <row r="58" spans="2:20" ht="14.5" x14ac:dyDescent="0.35">
      <c r="B58" s="1518" t="s">
        <v>121</v>
      </c>
      <c r="C58" s="189">
        <f>+C59+C60</f>
        <v>0</v>
      </c>
      <c r="D58" s="190">
        <f t="shared" ref="D58:K58" si="31">+D59+D60</f>
        <v>0</v>
      </c>
      <c r="E58" s="190">
        <f t="shared" si="31"/>
        <v>0</v>
      </c>
      <c r="F58" s="190">
        <f t="shared" si="31"/>
        <v>0</v>
      </c>
      <c r="G58" s="190">
        <f t="shared" si="31"/>
        <v>0</v>
      </c>
      <c r="H58" s="190">
        <f t="shared" si="31"/>
        <v>0</v>
      </c>
      <c r="I58" s="190">
        <f t="shared" si="31"/>
        <v>0</v>
      </c>
      <c r="J58" s="190">
        <f t="shared" si="31"/>
        <v>0</v>
      </c>
      <c r="K58" s="190">
        <f t="shared" si="31"/>
        <v>0</v>
      </c>
      <c r="M58" s="1548" t="s">
        <v>122</v>
      </c>
      <c r="N58" s="1549">
        <f>+N50+N51+N52+N53-N55+N57+N54-N56</f>
        <v>0</v>
      </c>
      <c r="O58" s="1546">
        <f t="shared" ref="O58:T58" si="32">+O50+O51+O52+O53-O55+O57+O54-O56</f>
        <v>0</v>
      </c>
      <c r="P58" s="1546">
        <f>+P50+P51+P52+P53-P55+P57+P54-P56</f>
        <v>0</v>
      </c>
      <c r="Q58" s="1546">
        <f>+Q50+Q51+Q52+Q53-Q55+Q57+Q54-Q56</f>
        <v>0</v>
      </c>
      <c r="R58" s="1546">
        <f>+R50+R51+R52+R53-R55+R57+R54-R56</f>
        <v>0</v>
      </c>
      <c r="S58" s="1546">
        <f t="shared" si="32"/>
        <v>0</v>
      </c>
      <c r="T58" s="1547">
        <f t="shared" si="32"/>
        <v>0</v>
      </c>
    </row>
    <row r="59" spans="2:20" ht="14.5" x14ac:dyDescent="0.35">
      <c r="B59" s="1518" t="s">
        <v>123</v>
      </c>
      <c r="C59" s="1597"/>
      <c r="D59" s="1598"/>
      <c r="E59" s="1598"/>
      <c r="F59" s="1598"/>
      <c r="G59" s="1598"/>
      <c r="H59" s="1598"/>
      <c r="I59" s="1598"/>
      <c r="J59" s="1598"/>
      <c r="K59" s="1598"/>
      <c r="M59" s="1540" t="s">
        <v>124</v>
      </c>
      <c r="N59" s="1605"/>
      <c r="O59" s="1606"/>
      <c r="P59" s="1546">
        <f ca="1">+O60</f>
        <v>0</v>
      </c>
      <c r="Q59" s="1546">
        <f t="shared" ref="Q59:T59" ca="1" si="33">+P60</f>
        <v>0</v>
      </c>
      <c r="R59" s="1546">
        <f t="shared" ca="1" si="33"/>
        <v>0</v>
      </c>
      <c r="S59" s="1546">
        <f t="shared" ca="1" si="33"/>
        <v>0</v>
      </c>
      <c r="T59" s="1547">
        <f t="shared" ca="1" si="33"/>
        <v>0</v>
      </c>
    </row>
    <row r="60" spans="2:20" ht="15" thickBot="1" x14ac:dyDescent="0.4">
      <c r="B60" s="1518" t="s">
        <v>125</v>
      </c>
      <c r="C60" s="1597"/>
      <c r="D60" s="1598"/>
      <c r="E60" s="1598"/>
      <c r="F60" s="1598"/>
      <c r="G60" s="1598"/>
      <c r="H60" s="1598"/>
      <c r="I60" s="1598"/>
      <c r="J60" s="1598"/>
      <c r="K60" s="1598"/>
      <c r="M60" s="1550" t="s">
        <v>126</v>
      </c>
      <c r="N60" s="1551">
        <f ca="1">+N46+N48+N58+N59</f>
        <v>0</v>
      </c>
      <c r="O60" s="1552">
        <f ca="1">+O46+O48+O58+O59</f>
        <v>0</v>
      </c>
      <c r="P60" s="1552">
        <f t="shared" ref="P60:T60" ca="1" si="34">+P46+P48+P58+P59</f>
        <v>0</v>
      </c>
      <c r="Q60" s="1552">
        <f t="shared" ca="1" si="34"/>
        <v>0</v>
      </c>
      <c r="R60" s="1552">
        <f t="shared" ca="1" si="34"/>
        <v>0</v>
      </c>
      <c r="S60" s="1552">
        <f t="shared" ca="1" si="34"/>
        <v>0</v>
      </c>
      <c r="T60" s="1553">
        <f t="shared" ca="1" si="34"/>
        <v>0</v>
      </c>
    </row>
    <row r="61" spans="2:20" ht="14.5" x14ac:dyDescent="0.35">
      <c r="B61" s="1518" t="s">
        <v>127</v>
      </c>
      <c r="C61" s="189">
        <f>+C62+C63</f>
        <v>0</v>
      </c>
      <c r="D61" s="190">
        <f t="shared" ref="D61:K61" si="35">+D62+D63</f>
        <v>0</v>
      </c>
      <c r="E61" s="190">
        <f t="shared" si="35"/>
        <v>0</v>
      </c>
      <c r="F61" s="190">
        <f t="shared" si="35"/>
        <v>0</v>
      </c>
      <c r="G61" s="190">
        <f t="shared" si="35"/>
        <v>0</v>
      </c>
      <c r="H61" s="190">
        <f t="shared" si="35"/>
        <v>0</v>
      </c>
      <c r="I61" s="190">
        <f t="shared" si="35"/>
        <v>0</v>
      </c>
      <c r="J61" s="190">
        <f t="shared" si="35"/>
        <v>0</v>
      </c>
      <c r="K61" s="190">
        <f t="shared" si="35"/>
        <v>0</v>
      </c>
    </row>
    <row r="62" spans="2:20" ht="14.5" x14ac:dyDescent="0.35">
      <c r="B62" s="1518" t="s">
        <v>128</v>
      </c>
      <c r="C62" s="1597"/>
      <c r="D62" s="1598"/>
      <c r="E62" s="1598"/>
      <c r="F62" s="1598"/>
      <c r="G62" s="1598"/>
      <c r="H62" s="1598"/>
      <c r="I62" s="1598"/>
      <c r="J62" s="1598"/>
      <c r="K62" s="1598"/>
    </row>
    <row r="63" spans="2:20" ht="14.5" x14ac:dyDescent="0.35">
      <c r="B63" s="1518" t="s">
        <v>129</v>
      </c>
      <c r="C63" s="1597"/>
      <c r="D63" s="1598"/>
      <c r="E63" s="1598"/>
      <c r="F63" s="1598"/>
      <c r="G63" s="1598"/>
      <c r="H63" s="1598"/>
      <c r="I63" s="1598"/>
      <c r="J63" s="1598"/>
      <c r="K63" s="1598"/>
    </row>
    <row r="64" spans="2:20" ht="14.5" x14ac:dyDescent="0.35">
      <c r="B64" s="1518" t="s">
        <v>130</v>
      </c>
      <c r="C64" s="189">
        <f>+C65+C66</f>
        <v>0</v>
      </c>
      <c r="D64" s="190">
        <f t="shared" ref="D64:K64" si="36">+D65+D66</f>
        <v>0</v>
      </c>
      <c r="E64" s="190">
        <f t="shared" si="36"/>
        <v>0</v>
      </c>
      <c r="F64" s="190">
        <f t="shared" si="36"/>
        <v>0</v>
      </c>
      <c r="G64" s="190">
        <f t="shared" si="36"/>
        <v>0</v>
      </c>
      <c r="H64" s="190">
        <f t="shared" si="36"/>
        <v>0</v>
      </c>
      <c r="I64" s="190">
        <f t="shared" si="36"/>
        <v>0</v>
      </c>
      <c r="J64" s="190">
        <f t="shared" si="36"/>
        <v>0</v>
      </c>
      <c r="K64" s="190">
        <f t="shared" si="36"/>
        <v>0</v>
      </c>
    </row>
    <row r="65" spans="2:31" ht="14.5" x14ac:dyDescent="0.35">
      <c r="B65" s="1518" t="s">
        <v>131</v>
      </c>
      <c r="C65" s="1597"/>
      <c r="D65" s="1598"/>
      <c r="E65" s="1598"/>
      <c r="F65" s="1598"/>
      <c r="G65" s="1598"/>
      <c r="H65" s="1598"/>
      <c r="I65" s="1598"/>
      <c r="J65" s="1598"/>
      <c r="K65" s="1598"/>
    </row>
    <row r="66" spans="2:31" ht="14.5" x14ac:dyDescent="0.35">
      <c r="B66" s="1518" t="s">
        <v>132</v>
      </c>
      <c r="C66" s="1597"/>
      <c r="D66" s="1598"/>
      <c r="E66" s="1598"/>
      <c r="F66" s="1598"/>
      <c r="G66" s="1598"/>
      <c r="H66" s="1598"/>
      <c r="I66" s="1598"/>
      <c r="J66" s="1598"/>
      <c r="K66" s="1598"/>
    </row>
    <row r="67" spans="2:31" ht="15" thickBot="1" x14ac:dyDescent="0.4">
      <c r="B67" s="1554" t="s">
        <v>133</v>
      </c>
      <c r="C67" s="1599"/>
      <c r="D67" s="1600"/>
      <c r="E67" s="1600"/>
      <c r="F67" s="1600"/>
      <c r="G67" s="1600"/>
      <c r="H67" s="1600"/>
      <c r="I67" s="1600"/>
      <c r="J67" s="1600"/>
      <c r="K67" s="1600"/>
    </row>
    <row r="68" spans="2:31" ht="12" x14ac:dyDescent="0.3">
      <c r="D68" s="1555"/>
      <c r="E68" s="1555"/>
      <c r="F68" s="1555"/>
    </row>
    <row r="69" spans="2:31" ht="12" x14ac:dyDescent="0.3">
      <c r="D69" s="1555"/>
      <c r="E69" s="1555"/>
      <c r="F69" s="1555"/>
    </row>
    <row r="70" spans="2:31" ht="47.5" customHeight="1" x14ac:dyDescent="0.2">
      <c r="B70" s="1826" t="s">
        <v>1763</v>
      </c>
      <c r="C70" s="1827"/>
      <c r="D70" s="1827"/>
      <c r="E70" s="1827"/>
      <c r="F70" s="1827"/>
      <c r="G70" s="1827"/>
      <c r="H70" s="1827"/>
      <c r="I70" s="1827"/>
      <c r="J70" s="1827"/>
      <c r="K70" s="1827"/>
      <c r="L70" s="1827"/>
      <c r="M70" s="1827"/>
      <c r="N70" s="1827"/>
      <c r="O70" s="1827"/>
      <c r="P70" s="1827"/>
      <c r="Q70" s="1827"/>
      <c r="R70" s="1827"/>
      <c r="S70" s="1827"/>
      <c r="T70" s="1827"/>
      <c r="U70" s="1827"/>
      <c r="V70" s="1827"/>
      <c r="W70" s="1827"/>
      <c r="X70" s="1827"/>
      <c r="Y70" s="1827"/>
      <c r="Z70" s="1827"/>
      <c r="AA70" s="1827"/>
      <c r="AB70" s="1827"/>
      <c r="AC70" s="1827"/>
      <c r="AD70" s="1827"/>
      <c r="AE70" s="1827"/>
    </row>
    <row r="71" spans="2:31" ht="12" x14ac:dyDescent="0.3">
      <c r="D71" s="1555"/>
      <c r="E71" s="1555"/>
      <c r="F71" s="1555"/>
    </row>
    <row r="72" spans="2:31" ht="12" x14ac:dyDescent="0.3">
      <c r="D72" s="1555"/>
      <c r="E72" s="1555"/>
      <c r="F72" s="1555"/>
    </row>
    <row r="73" spans="2:31" ht="14.5" x14ac:dyDescent="0.35">
      <c r="B73"/>
      <c r="C73"/>
      <c r="D73"/>
      <c r="E73"/>
      <c r="F73"/>
      <c r="G73"/>
    </row>
    <row r="74" spans="2:31" ht="14.5" hidden="1" x14ac:dyDescent="0.35">
      <c r="B74"/>
      <c r="C74"/>
      <c r="D74"/>
      <c r="E74"/>
      <c r="F74"/>
      <c r="G74"/>
    </row>
    <row r="75" spans="2:31" ht="14.5" hidden="1" x14ac:dyDescent="0.35">
      <c r="B75"/>
      <c r="C75"/>
      <c r="D75"/>
      <c r="E75"/>
      <c r="F75"/>
      <c r="G75"/>
    </row>
    <row r="76" spans="2:31" ht="14.5" hidden="1" x14ac:dyDescent="0.35">
      <c r="B76"/>
      <c r="C76"/>
      <c r="D76"/>
      <c r="E76"/>
      <c r="F76"/>
      <c r="G76"/>
    </row>
    <row r="77" spans="2:31" ht="14.5" hidden="1" x14ac:dyDescent="0.35">
      <c r="B77"/>
      <c r="C77"/>
      <c r="D77"/>
      <c r="E77"/>
      <c r="F77"/>
      <c r="G77"/>
    </row>
    <row r="78" spans="2:31" ht="14.5" hidden="1" customHeight="1" x14ac:dyDescent="0.35">
      <c r="B78"/>
      <c r="C78"/>
      <c r="D78"/>
      <c r="E78"/>
      <c r="F78"/>
      <c r="G78"/>
    </row>
    <row r="79" spans="2:31" ht="15" hidden="1" customHeight="1" x14ac:dyDescent="0.35">
      <c r="B79"/>
      <c r="C79"/>
      <c r="D79"/>
      <c r="E79"/>
      <c r="F79"/>
      <c r="G79"/>
    </row>
    <row r="80" spans="2:31" ht="14.5" hidden="1" x14ac:dyDescent="0.35">
      <c r="B80"/>
      <c r="C80"/>
      <c r="D80"/>
      <c r="E80"/>
      <c r="F80"/>
      <c r="G80"/>
    </row>
    <row r="81" spans="2:7" ht="14.5" hidden="1" x14ac:dyDescent="0.35">
      <c r="B81"/>
      <c r="C81"/>
      <c r="D81"/>
      <c r="E81"/>
      <c r="F81"/>
      <c r="G81"/>
    </row>
    <row r="82" spans="2:7" ht="14.5" hidden="1" x14ac:dyDescent="0.35">
      <c r="B82"/>
      <c r="C82"/>
      <c r="D82"/>
      <c r="E82"/>
      <c r="F82"/>
      <c r="G82"/>
    </row>
    <row r="83" spans="2:7" ht="14.5" hidden="1" x14ac:dyDescent="0.35">
      <c r="B83"/>
      <c r="C83"/>
      <c r="D83"/>
      <c r="E83"/>
      <c r="F83"/>
      <c r="G83"/>
    </row>
    <row r="84" spans="2:7" ht="14.5" hidden="1" x14ac:dyDescent="0.35">
      <c r="B84"/>
      <c r="C84"/>
      <c r="D84"/>
      <c r="E84"/>
      <c r="F84"/>
      <c r="G84"/>
    </row>
    <row r="85" spans="2:7" ht="14.5" hidden="1" x14ac:dyDescent="0.35">
      <c r="B85"/>
      <c r="C85"/>
      <c r="D85"/>
      <c r="E85"/>
      <c r="F85"/>
      <c r="G85"/>
    </row>
    <row r="86" spans="2:7" ht="14.5" hidden="1" x14ac:dyDescent="0.35">
      <c r="B86"/>
      <c r="C86"/>
      <c r="D86"/>
      <c r="E86"/>
      <c r="F86"/>
      <c r="G86"/>
    </row>
    <row r="87" spans="2:7" ht="14.5" hidden="1" x14ac:dyDescent="0.35">
      <c r="B87"/>
      <c r="C87"/>
      <c r="D87"/>
      <c r="E87"/>
      <c r="F87"/>
      <c r="G87"/>
    </row>
    <row r="88" spans="2:7" ht="14.5" hidden="1" x14ac:dyDescent="0.35">
      <c r="B88"/>
      <c r="C88"/>
      <c r="D88"/>
      <c r="E88"/>
      <c r="F88"/>
      <c r="G88"/>
    </row>
    <row r="89" spans="2:7" ht="14.5" hidden="1" x14ac:dyDescent="0.35">
      <c r="B89"/>
      <c r="C89"/>
      <c r="D89"/>
      <c r="E89"/>
      <c r="F89"/>
      <c r="G89"/>
    </row>
    <row r="90" spans="2:7" ht="14.5" hidden="1" x14ac:dyDescent="0.35">
      <c r="B90"/>
      <c r="C90"/>
      <c r="D90"/>
      <c r="E90"/>
      <c r="F90"/>
      <c r="G90"/>
    </row>
    <row r="91" spans="2:7" ht="14.5" hidden="1" x14ac:dyDescent="0.35">
      <c r="B91"/>
      <c r="C91"/>
      <c r="D91"/>
      <c r="E91"/>
      <c r="F91"/>
      <c r="G91"/>
    </row>
    <row r="92" spans="2:7" ht="14.5" hidden="1" x14ac:dyDescent="0.35">
      <c r="B92"/>
      <c r="C92"/>
      <c r="D92"/>
      <c r="E92"/>
      <c r="F92"/>
      <c r="G92"/>
    </row>
    <row r="93" spans="2:7" ht="14.5" hidden="1" x14ac:dyDescent="0.35">
      <c r="B93"/>
      <c r="C93"/>
      <c r="D93"/>
      <c r="E93"/>
      <c r="F93"/>
      <c r="G93"/>
    </row>
    <row r="94" spans="2:7" ht="14.5" hidden="1" x14ac:dyDescent="0.35">
      <c r="B94"/>
      <c r="C94"/>
      <c r="D94"/>
      <c r="E94"/>
      <c r="F94"/>
      <c r="G94"/>
    </row>
    <row r="95" spans="2:7" ht="14.5" hidden="1" x14ac:dyDescent="0.35">
      <c r="B95"/>
      <c r="C95"/>
      <c r="D95"/>
      <c r="E95"/>
      <c r="F95"/>
      <c r="G95"/>
    </row>
    <row r="96" spans="2:7" ht="14.5" hidden="1" x14ac:dyDescent="0.35">
      <c r="B96"/>
      <c r="C96"/>
      <c r="D96"/>
      <c r="E96"/>
      <c r="F96"/>
      <c r="G96"/>
    </row>
    <row r="97" spans="2:7" ht="14.5" hidden="1" x14ac:dyDescent="0.35">
      <c r="B97"/>
      <c r="C97"/>
      <c r="D97"/>
      <c r="E97"/>
      <c r="F97"/>
      <c r="G97"/>
    </row>
    <row r="98" spans="2:7" ht="14.5" hidden="1" x14ac:dyDescent="0.35">
      <c r="B98"/>
      <c r="C98"/>
      <c r="D98"/>
      <c r="E98"/>
      <c r="F98"/>
      <c r="G98"/>
    </row>
    <row r="99" spans="2:7" ht="14.5" hidden="1" x14ac:dyDescent="0.35">
      <c r="B99"/>
      <c r="C99"/>
      <c r="D99"/>
      <c r="E99"/>
      <c r="F99"/>
      <c r="G99"/>
    </row>
    <row r="100" spans="2:7" ht="14.5" hidden="1" x14ac:dyDescent="0.35">
      <c r="B100"/>
      <c r="C100"/>
      <c r="D100"/>
      <c r="E100"/>
      <c r="F100"/>
      <c r="G100"/>
    </row>
    <row r="101" spans="2:7" ht="14.5" hidden="1" x14ac:dyDescent="0.35">
      <c r="B101"/>
      <c r="C101"/>
      <c r="D101"/>
      <c r="E101"/>
      <c r="F101"/>
      <c r="G101"/>
    </row>
    <row r="102" spans="2:7" ht="14.5" hidden="1" x14ac:dyDescent="0.35">
      <c r="B102"/>
      <c r="C102"/>
      <c r="D102"/>
      <c r="E102"/>
      <c r="F102"/>
      <c r="G102"/>
    </row>
    <row r="103" spans="2:7" ht="14.5" hidden="1" x14ac:dyDescent="0.35">
      <c r="B103"/>
      <c r="C103"/>
      <c r="D103"/>
      <c r="E103"/>
      <c r="F103"/>
      <c r="G103"/>
    </row>
    <row r="104" spans="2:7" ht="14.5" hidden="1" x14ac:dyDescent="0.35">
      <c r="B104"/>
      <c r="C104"/>
      <c r="D104"/>
      <c r="E104"/>
      <c r="F104"/>
      <c r="G104"/>
    </row>
    <row r="105" spans="2:7" ht="14.5" hidden="1" x14ac:dyDescent="0.35">
      <c r="B105"/>
      <c r="C105"/>
      <c r="D105"/>
      <c r="E105"/>
      <c r="F105"/>
      <c r="G105"/>
    </row>
    <row r="106" spans="2:7" ht="14.5" hidden="1" x14ac:dyDescent="0.35">
      <c r="B106"/>
      <c r="C106"/>
      <c r="D106"/>
      <c r="E106"/>
      <c r="F106"/>
      <c r="G106"/>
    </row>
    <row r="107" spans="2:7" ht="14.5" hidden="1" x14ac:dyDescent="0.35">
      <c r="B107"/>
      <c r="C107"/>
      <c r="D107"/>
      <c r="E107"/>
      <c r="F107"/>
      <c r="G107"/>
    </row>
    <row r="108" spans="2:7" ht="14.5" hidden="1" x14ac:dyDescent="0.35">
      <c r="B108"/>
      <c r="C108"/>
      <c r="D108"/>
      <c r="E108"/>
      <c r="F108"/>
      <c r="G108"/>
    </row>
    <row r="109" spans="2:7" ht="14.5" hidden="1" x14ac:dyDescent="0.35">
      <c r="B109"/>
      <c r="C109"/>
      <c r="D109"/>
      <c r="E109"/>
      <c r="F109"/>
      <c r="G109"/>
    </row>
    <row r="110" spans="2:7" ht="14.5" hidden="1" x14ac:dyDescent="0.35">
      <c r="B110"/>
      <c r="C110"/>
      <c r="D110"/>
      <c r="E110"/>
      <c r="F110"/>
      <c r="G110"/>
    </row>
    <row r="111" spans="2:7" ht="14.5" hidden="1" x14ac:dyDescent="0.35">
      <c r="B111"/>
      <c r="C111"/>
      <c r="D111"/>
      <c r="E111"/>
      <c r="F111"/>
      <c r="G111"/>
    </row>
    <row r="112" spans="2:7" ht="14.5" hidden="1" x14ac:dyDescent="0.35">
      <c r="B112"/>
      <c r="C112"/>
      <c r="D112"/>
      <c r="E112"/>
      <c r="F112"/>
      <c r="G112"/>
    </row>
    <row r="113" spans="2:7" ht="14.5" hidden="1" x14ac:dyDescent="0.35">
      <c r="B113"/>
      <c r="C113"/>
      <c r="D113"/>
      <c r="E113"/>
      <c r="F113"/>
      <c r="G113"/>
    </row>
    <row r="114" spans="2:7" ht="14.5" hidden="1" x14ac:dyDescent="0.35">
      <c r="B114"/>
      <c r="C114"/>
      <c r="D114"/>
      <c r="E114"/>
      <c r="F114"/>
      <c r="G114"/>
    </row>
    <row r="115" spans="2:7" ht="14.5" hidden="1" x14ac:dyDescent="0.35">
      <c r="B115"/>
      <c r="C115"/>
      <c r="D115"/>
      <c r="E115"/>
      <c r="F115"/>
      <c r="G115"/>
    </row>
    <row r="116" spans="2:7" ht="14.5" hidden="1" x14ac:dyDescent="0.35">
      <c r="B116"/>
      <c r="C116"/>
      <c r="D116"/>
      <c r="E116"/>
      <c r="F116"/>
      <c r="G116"/>
    </row>
    <row r="117" spans="2:7" ht="14.5" hidden="1" x14ac:dyDescent="0.35">
      <c r="B117"/>
      <c r="C117"/>
      <c r="D117"/>
      <c r="E117"/>
      <c r="F117"/>
      <c r="G117"/>
    </row>
    <row r="118" spans="2:7" ht="14.5" hidden="1" x14ac:dyDescent="0.35">
      <c r="B118"/>
      <c r="C118"/>
      <c r="D118"/>
      <c r="E118"/>
      <c r="F118"/>
      <c r="G118"/>
    </row>
    <row r="119" spans="2:7" ht="14.5" hidden="1" x14ac:dyDescent="0.35">
      <c r="B119"/>
      <c r="C119"/>
      <c r="D119"/>
      <c r="E119"/>
      <c r="F119"/>
      <c r="G119"/>
    </row>
    <row r="120" spans="2:7" ht="14.5" hidden="1" x14ac:dyDescent="0.35">
      <c r="B120"/>
      <c r="C120"/>
      <c r="D120"/>
      <c r="E120"/>
      <c r="F120"/>
      <c r="G120"/>
    </row>
    <row r="121" spans="2:7" ht="14.5" hidden="1" x14ac:dyDescent="0.35">
      <c r="B121"/>
      <c r="C121"/>
      <c r="D121"/>
      <c r="E121"/>
      <c r="F121"/>
      <c r="G121"/>
    </row>
    <row r="122" spans="2:7" ht="14.5" hidden="1" x14ac:dyDescent="0.35">
      <c r="B122"/>
      <c r="C122"/>
      <c r="D122"/>
      <c r="E122"/>
      <c r="F122"/>
      <c r="G122"/>
    </row>
    <row r="123" spans="2:7" ht="14.5" hidden="1" x14ac:dyDescent="0.35">
      <c r="B123"/>
      <c r="C123"/>
      <c r="D123"/>
      <c r="E123"/>
      <c r="F123"/>
      <c r="G123"/>
    </row>
    <row r="124" spans="2:7" ht="14.5" hidden="1" x14ac:dyDescent="0.35">
      <c r="B124"/>
      <c r="C124"/>
      <c r="D124"/>
      <c r="E124"/>
      <c r="F124"/>
      <c r="G124"/>
    </row>
    <row r="125" spans="2:7" ht="14.5" hidden="1" x14ac:dyDescent="0.35">
      <c r="B125"/>
      <c r="C125"/>
      <c r="D125"/>
      <c r="E125"/>
      <c r="F125"/>
      <c r="G125"/>
    </row>
    <row r="126" spans="2:7" ht="14.5" hidden="1" x14ac:dyDescent="0.35">
      <c r="B126"/>
      <c r="C126"/>
      <c r="D126"/>
      <c r="E126"/>
      <c r="F126"/>
      <c r="G126"/>
    </row>
    <row r="127" spans="2:7" ht="14.5" hidden="1" x14ac:dyDescent="0.35">
      <c r="B127"/>
      <c r="C127"/>
      <c r="D127"/>
      <c r="E127"/>
      <c r="F127"/>
      <c r="G127"/>
    </row>
    <row r="128" spans="2:7" ht="14.5" hidden="1" x14ac:dyDescent="0.35">
      <c r="B128"/>
      <c r="C128"/>
      <c r="D128"/>
      <c r="E128"/>
      <c r="F128"/>
      <c r="G128"/>
    </row>
    <row r="129" spans="2:7" ht="14.5" hidden="1" x14ac:dyDescent="0.35">
      <c r="B129"/>
      <c r="C129"/>
      <c r="D129"/>
      <c r="E129"/>
      <c r="F129"/>
      <c r="G129"/>
    </row>
    <row r="130" spans="2:7" ht="14.5" hidden="1" x14ac:dyDescent="0.35">
      <c r="B130"/>
      <c r="C130"/>
      <c r="D130"/>
      <c r="E130"/>
      <c r="F130"/>
      <c r="G130"/>
    </row>
    <row r="131" spans="2:7" ht="14.5" hidden="1" x14ac:dyDescent="0.35">
      <c r="B131"/>
      <c r="C131"/>
      <c r="D131"/>
      <c r="E131"/>
      <c r="F131"/>
      <c r="G131"/>
    </row>
    <row r="132" spans="2:7" ht="14.5" hidden="1" x14ac:dyDescent="0.35">
      <c r="B132"/>
      <c r="C132"/>
      <c r="D132"/>
      <c r="E132"/>
      <c r="F132"/>
      <c r="G132"/>
    </row>
    <row r="133" spans="2:7" ht="14.5" hidden="1" x14ac:dyDescent="0.35">
      <c r="B133"/>
      <c r="C133"/>
      <c r="D133"/>
      <c r="E133"/>
      <c r="F133"/>
      <c r="G133"/>
    </row>
    <row r="134" spans="2:7" ht="14.5" hidden="1" x14ac:dyDescent="0.35">
      <c r="B134"/>
      <c r="C134"/>
      <c r="D134"/>
      <c r="E134"/>
      <c r="F134"/>
      <c r="G134"/>
    </row>
    <row r="135" spans="2:7" ht="14.5" hidden="1" x14ac:dyDescent="0.35">
      <c r="B135"/>
      <c r="C135"/>
      <c r="D135"/>
      <c r="E135"/>
      <c r="F135"/>
      <c r="G135"/>
    </row>
    <row r="136" spans="2:7" ht="14.5" hidden="1" x14ac:dyDescent="0.35">
      <c r="B136"/>
      <c r="C136"/>
      <c r="D136"/>
      <c r="E136"/>
      <c r="F136"/>
      <c r="G136"/>
    </row>
    <row r="137" spans="2:7" ht="14.5" hidden="1" x14ac:dyDescent="0.35">
      <c r="B137"/>
      <c r="C137"/>
      <c r="D137"/>
      <c r="E137"/>
      <c r="F137"/>
      <c r="G137"/>
    </row>
    <row r="138" spans="2:7" ht="14.5" hidden="1" x14ac:dyDescent="0.35">
      <c r="B138"/>
      <c r="C138"/>
      <c r="D138"/>
      <c r="E138"/>
      <c r="F138"/>
      <c r="G138"/>
    </row>
    <row r="139" spans="2:7" ht="14.5" hidden="1" x14ac:dyDescent="0.35">
      <c r="B139"/>
      <c r="C139"/>
      <c r="D139"/>
      <c r="E139"/>
      <c r="F139"/>
      <c r="G139"/>
    </row>
    <row r="140" spans="2:7" ht="14.5" hidden="1" x14ac:dyDescent="0.35">
      <c r="B140"/>
      <c r="C140"/>
      <c r="D140"/>
      <c r="E140"/>
      <c r="F140"/>
      <c r="G140"/>
    </row>
    <row r="141" spans="2:7" ht="14.5" hidden="1" x14ac:dyDescent="0.35">
      <c r="B141"/>
      <c r="C141"/>
      <c r="D141"/>
      <c r="E141"/>
      <c r="F141"/>
      <c r="G141"/>
    </row>
    <row r="142" spans="2:7" ht="14.5" hidden="1" x14ac:dyDescent="0.35">
      <c r="B142"/>
      <c r="C142"/>
      <c r="D142"/>
      <c r="E142"/>
      <c r="F142"/>
      <c r="G142"/>
    </row>
    <row r="143" spans="2:7" ht="14.5" hidden="1" x14ac:dyDescent="0.35">
      <c r="B143"/>
      <c r="C143"/>
      <c r="D143"/>
      <c r="E143"/>
      <c r="F143"/>
      <c r="G143"/>
    </row>
    <row r="144" spans="2:7" ht="14.5" hidden="1" x14ac:dyDescent="0.35">
      <c r="B144"/>
      <c r="C144"/>
      <c r="D144"/>
      <c r="E144"/>
      <c r="F144"/>
      <c r="G144"/>
    </row>
    <row r="145" spans="2:7" ht="14.5" hidden="1" x14ac:dyDescent="0.35">
      <c r="B145"/>
      <c r="C145"/>
      <c r="D145"/>
      <c r="E145"/>
      <c r="F145"/>
      <c r="G145"/>
    </row>
    <row r="146" spans="2:7" ht="14.5" hidden="1" x14ac:dyDescent="0.35">
      <c r="B146"/>
      <c r="C146"/>
      <c r="D146"/>
      <c r="E146"/>
      <c r="F146"/>
      <c r="G146"/>
    </row>
    <row r="147" spans="2:7" ht="14.5" hidden="1" x14ac:dyDescent="0.35">
      <c r="B147"/>
      <c r="C147"/>
      <c r="D147"/>
      <c r="E147"/>
      <c r="F147"/>
      <c r="G147"/>
    </row>
    <row r="148" spans="2:7" ht="14.5" hidden="1" x14ac:dyDescent="0.35">
      <c r="B148"/>
      <c r="C148"/>
      <c r="D148"/>
      <c r="E148"/>
      <c r="F148"/>
      <c r="G148"/>
    </row>
    <row r="149" spans="2:7" ht="14.5" hidden="1" x14ac:dyDescent="0.35">
      <c r="B149"/>
      <c r="C149"/>
      <c r="D149"/>
      <c r="E149"/>
      <c r="F149"/>
      <c r="G149"/>
    </row>
    <row r="150" spans="2:7" ht="14.5" hidden="1" x14ac:dyDescent="0.35">
      <c r="B150"/>
      <c r="C150"/>
      <c r="D150"/>
      <c r="E150"/>
      <c r="F150"/>
      <c r="G150"/>
    </row>
    <row r="151" spans="2:7" ht="14.5" hidden="1" x14ac:dyDescent="0.35">
      <c r="B151"/>
      <c r="C151"/>
      <c r="D151"/>
      <c r="E151"/>
      <c r="F151"/>
      <c r="G151"/>
    </row>
    <row r="152" spans="2:7" ht="14.5" hidden="1" x14ac:dyDescent="0.35">
      <c r="B152"/>
      <c r="C152"/>
      <c r="D152"/>
      <c r="E152"/>
      <c r="F152"/>
      <c r="G152"/>
    </row>
    <row r="153" spans="2:7" ht="14.5" hidden="1" x14ac:dyDescent="0.35">
      <c r="B153"/>
      <c r="C153"/>
      <c r="D153"/>
      <c r="E153"/>
      <c r="F153"/>
      <c r="G153"/>
    </row>
    <row r="154" spans="2:7" ht="14.5" hidden="1" x14ac:dyDescent="0.35">
      <c r="B154"/>
      <c r="C154"/>
      <c r="D154"/>
      <c r="E154"/>
      <c r="F154"/>
      <c r="G154"/>
    </row>
    <row r="155" spans="2:7" ht="14.5" hidden="1" x14ac:dyDescent="0.35">
      <c r="B155"/>
      <c r="C155"/>
      <c r="D155"/>
      <c r="E155"/>
      <c r="F155"/>
      <c r="G155"/>
    </row>
    <row r="156" spans="2:7" ht="14.5" hidden="1" x14ac:dyDescent="0.35">
      <c r="B156"/>
      <c r="C156"/>
      <c r="D156"/>
      <c r="E156"/>
      <c r="F156"/>
      <c r="G156"/>
    </row>
    <row r="157" spans="2:7" ht="14.5" hidden="1" x14ac:dyDescent="0.35">
      <c r="B157"/>
      <c r="C157"/>
      <c r="D157"/>
      <c r="E157"/>
      <c r="F157"/>
      <c r="G157"/>
    </row>
    <row r="158" spans="2:7" ht="14.5" hidden="1" x14ac:dyDescent="0.35">
      <c r="B158"/>
      <c r="C158"/>
      <c r="D158"/>
      <c r="E158"/>
      <c r="F158"/>
      <c r="G158"/>
    </row>
    <row r="159" spans="2:7" ht="14.5" hidden="1" x14ac:dyDescent="0.35">
      <c r="B159"/>
      <c r="C159"/>
      <c r="D159"/>
      <c r="E159"/>
      <c r="F159"/>
      <c r="G159"/>
    </row>
    <row r="160" spans="2:7" ht="14.5" hidden="1" x14ac:dyDescent="0.35">
      <c r="B160"/>
      <c r="C160"/>
      <c r="D160"/>
      <c r="E160"/>
      <c r="F160"/>
      <c r="G160"/>
    </row>
    <row r="161" spans="2:7" ht="14.5" hidden="1" x14ac:dyDescent="0.35">
      <c r="B161"/>
      <c r="C161"/>
      <c r="D161"/>
      <c r="E161"/>
      <c r="F161"/>
      <c r="G161"/>
    </row>
    <row r="162" spans="2:7" ht="14.5" hidden="1" x14ac:dyDescent="0.35">
      <c r="B162"/>
      <c r="C162"/>
      <c r="D162"/>
      <c r="E162"/>
      <c r="F162"/>
      <c r="G162"/>
    </row>
    <row r="163" spans="2:7" ht="14.5" hidden="1" x14ac:dyDescent="0.35">
      <c r="B163"/>
      <c r="C163"/>
      <c r="D163"/>
      <c r="E163"/>
      <c r="F163"/>
      <c r="G163"/>
    </row>
    <row r="164" spans="2:7" ht="14.5" hidden="1" x14ac:dyDescent="0.35">
      <c r="B164"/>
      <c r="C164"/>
      <c r="D164"/>
      <c r="E164"/>
      <c r="F164"/>
      <c r="G164"/>
    </row>
    <row r="165" spans="2:7" ht="14.5" hidden="1" x14ac:dyDescent="0.35">
      <c r="B165"/>
      <c r="C165"/>
      <c r="D165"/>
      <c r="E165"/>
      <c r="F165"/>
      <c r="G165"/>
    </row>
    <row r="166" spans="2:7" ht="14.5" hidden="1" x14ac:dyDescent="0.35">
      <c r="B166"/>
      <c r="C166"/>
      <c r="D166"/>
      <c r="E166"/>
      <c r="F166"/>
      <c r="G166"/>
    </row>
    <row r="167" spans="2:7" ht="14.5" hidden="1" x14ac:dyDescent="0.35">
      <c r="B167"/>
      <c r="C167"/>
      <c r="D167"/>
      <c r="E167"/>
      <c r="F167"/>
      <c r="G167"/>
    </row>
    <row r="168" spans="2:7" ht="14.5" hidden="1" x14ac:dyDescent="0.35">
      <c r="B168"/>
      <c r="C168"/>
      <c r="D168"/>
      <c r="E168"/>
      <c r="F168"/>
      <c r="G168"/>
    </row>
    <row r="169" spans="2:7" ht="14.5" hidden="1" x14ac:dyDescent="0.35">
      <c r="B169"/>
      <c r="C169"/>
      <c r="D169"/>
      <c r="E169"/>
      <c r="F169"/>
      <c r="G169"/>
    </row>
    <row r="170" spans="2:7" ht="14.5" hidden="1" x14ac:dyDescent="0.35">
      <c r="B170"/>
      <c r="C170"/>
      <c r="D170"/>
      <c r="E170"/>
      <c r="F170"/>
      <c r="G170"/>
    </row>
    <row r="171" spans="2:7" ht="14.5" hidden="1" x14ac:dyDescent="0.35">
      <c r="B171"/>
      <c r="C171"/>
      <c r="D171"/>
      <c r="E171"/>
      <c r="F171"/>
      <c r="G171"/>
    </row>
    <row r="172" spans="2:7" ht="14.5" hidden="1" x14ac:dyDescent="0.35">
      <c r="B172"/>
      <c r="C172"/>
      <c r="D172"/>
      <c r="E172"/>
      <c r="F172"/>
      <c r="G172"/>
    </row>
    <row r="173" spans="2:7" ht="14.5" hidden="1" x14ac:dyDescent="0.35">
      <c r="B173"/>
      <c r="C173"/>
      <c r="D173"/>
      <c r="E173"/>
      <c r="F173"/>
      <c r="G173"/>
    </row>
    <row r="174" spans="2:7" ht="14.5" hidden="1" x14ac:dyDescent="0.35">
      <c r="B174"/>
      <c r="C174"/>
      <c r="D174"/>
      <c r="E174"/>
      <c r="F174"/>
      <c r="G174"/>
    </row>
    <row r="175" spans="2:7" ht="14.5" hidden="1" x14ac:dyDescent="0.35">
      <c r="B175"/>
      <c r="C175"/>
      <c r="D175"/>
      <c r="E175"/>
      <c r="F175"/>
      <c r="G175"/>
    </row>
    <row r="176" spans="2:7" ht="14.5" hidden="1" x14ac:dyDescent="0.35">
      <c r="B176"/>
      <c r="C176"/>
      <c r="D176"/>
      <c r="E176"/>
      <c r="F176"/>
      <c r="G176"/>
    </row>
    <row r="177" spans="2:7" ht="14.5" hidden="1" x14ac:dyDescent="0.35">
      <c r="B177"/>
      <c r="C177"/>
      <c r="D177"/>
      <c r="E177"/>
      <c r="F177"/>
      <c r="G177"/>
    </row>
    <row r="178" spans="2:7" ht="14.5" hidden="1" x14ac:dyDescent="0.35">
      <c r="B178"/>
      <c r="C178"/>
      <c r="D178"/>
      <c r="E178"/>
      <c r="F178"/>
      <c r="G178"/>
    </row>
    <row r="179" spans="2:7" ht="14.5" hidden="1" x14ac:dyDescent="0.35">
      <c r="B179"/>
      <c r="C179"/>
      <c r="D179"/>
      <c r="E179"/>
      <c r="F179"/>
      <c r="G179"/>
    </row>
    <row r="180" spans="2:7" ht="14.5" hidden="1" x14ac:dyDescent="0.35">
      <c r="B180"/>
      <c r="C180"/>
      <c r="D180"/>
      <c r="E180"/>
      <c r="F180"/>
      <c r="G180"/>
    </row>
    <row r="181" spans="2:7" ht="14.5" hidden="1" x14ac:dyDescent="0.35">
      <c r="B181"/>
      <c r="C181"/>
      <c r="D181"/>
      <c r="E181"/>
      <c r="F181"/>
      <c r="G181"/>
    </row>
    <row r="182" spans="2:7" ht="14.5" hidden="1" x14ac:dyDescent="0.35">
      <c r="B182"/>
      <c r="C182"/>
      <c r="D182"/>
      <c r="E182"/>
      <c r="F182"/>
      <c r="G182"/>
    </row>
    <row r="183" spans="2:7" ht="14.5" hidden="1" x14ac:dyDescent="0.35">
      <c r="B183"/>
      <c r="C183"/>
      <c r="D183"/>
      <c r="E183"/>
      <c r="F183"/>
      <c r="G183"/>
    </row>
    <row r="184" spans="2:7" ht="14.5" hidden="1" x14ac:dyDescent="0.35">
      <c r="B184"/>
      <c r="C184"/>
      <c r="D184"/>
      <c r="E184"/>
      <c r="F184"/>
      <c r="G184"/>
    </row>
    <row r="185" spans="2:7" ht="14.5" hidden="1" x14ac:dyDescent="0.35">
      <c r="B185"/>
      <c r="C185"/>
      <c r="D185"/>
      <c r="E185"/>
      <c r="F185"/>
      <c r="G185"/>
    </row>
    <row r="186" spans="2:7" ht="14.5" hidden="1" x14ac:dyDescent="0.35">
      <c r="B186"/>
      <c r="C186"/>
      <c r="D186"/>
      <c r="E186"/>
      <c r="F186"/>
      <c r="G186"/>
    </row>
    <row r="187" spans="2:7" ht="14.5" hidden="1" x14ac:dyDescent="0.35">
      <c r="B187"/>
      <c r="C187"/>
      <c r="D187"/>
      <c r="E187"/>
      <c r="F187"/>
      <c r="G187"/>
    </row>
    <row r="188" spans="2:7" ht="14.5" hidden="1" x14ac:dyDescent="0.35">
      <c r="B188"/>
      <c r="C188"/>
      <c r="D188"/>
      <c r="E188"/>
      <c r="F188"/>
      <c r="G188"/>
    </row>
    <row r="189" spans="2:7" ht="14.5" hidden="1" x14ac:dyDescent="0.35">
      <c r="B189"/>
      <c r="C189"/>
      <c r="D189"/>
      <c r="E189"/>
      <c r="F189"/>
      <c r="G189"/>
    </row>
    <row r="190" spans="2:7" ht="14.5" hidden="1" x14ac:dyDescent="0.35">
      <c r="B190"/>
      <c r="C190"/>
      <c r="D190"/>
      <c r="E190"/>
      <c r="F190"/>
      <c r="G190"/>
    </row>
  </sheetData>
  <sheetProtection algorithmName="SHA-512" hashValue="PBvWQGfC3tLrFGHZjwfpeMa0YO8sZ6xnc3EHkibapCKaPJQDYyzV7tAVmw3paITwKn/yHUs4HSSC37VAQtEN3A==" saltValue="BdbgK64dIQBGOjZ3OneU2A==" spinCount="100000" sheet="1" formatCells="0" formatColumns="0" formatRows="0" selectLockedCells="1"/>
  <protectedRanges>
    <protectedRange sqref="E56 N18:AE20 N22:AE29 N32:AE34 N36:AE36 N47:T47 N50:T52 P53:Q54 N55:T55 N57:T57 N59:O59" name="FLUSSI_CASSA"/>
    <protectedRange sqref="C43:K47 C65:K67 C62:K63 C59:K60 C56:K57 C50:K53 C40:K41 C34:K38 C28:K32 C20:K26 C17:K17" name="STATO_PATRIMONIALE"/>
    <protectedRange sqref="C10" name="ANNO_REGIME"/>
    <protectedRange sqref="E56 N18:AE20 N22:AE29 N32:AE34 N36:AE36" name="CONTO_ECONOMICO"/>
  </protectedRanges>
  <mergeCells count="12">
    <mergeCell ref="N10:V12"/>
    <mergeCell ref="N16:O16"/>
    <mergeCell ref="P16:Q16"/>
    <mergeCell ref="R16:S16"/>
    <mergeCell ref="T16:U16"/>
    <mergeCell ref="V16:W16"/>
    <mergeCell ref="B70:AE70"/>
    <mergeCell ref="X16:Y16"/>
    <mergeCell ref="Z16:AA16"/>
    <mergeCell ref="AB16:AC16"/>
    <mergeCell ref="AD16:AE16"/>
    <mergeCell ref="N49:T49"/>
  </mergeCells>
  <conditionalFormatting sqref="C16:K67">
    <cfRule type="expression" dxfId="146" priority="29">
      <formula>se+$K$15=""</formula>
    </cfRule>
  </conditionalFormatting>
  <conditionalFormatting sqref="K16:K67">
    <cfRule type="expression" dxfId="145" priority="28">
      <formula>$K$15=""</formula>
    </cfRule>
  </conditionalFormatting>
  <conditionalFormatting sqref="J16:J67">
    <cfRule type="expression" dxfId="144" priority="27">
      <formula>$J$15=""</formula>
    </cfRule>
  </conditionalFormatting>
  <conditionalFormatting sqref="I16:I67">
    <cfRule type="expression" dxfId="143" priority="26">
      <formula>$I$15=""</formula>
    </cfRule>
  </conditionalFormatting>
  <conditionalFormatting sqref="H16:H67">
    <cfRule type="expression" dxfId="142" priority="25">
      <formula>$H$15=""</formula>
    </cfRule>
  </conditionalFormatting>
  <conditionalFormatting sqref="G16:G67">
    <cfRule type="expression" dxfId="141" priority="24">
      <formula>$G$15=""</formula>
    </cfRule>
  </conditionalFormatting>
  <conditionalFormatting sqref="F16:F67">
    <cfRule type="expression" dxfId="140" priority="23">
      <formula>$F$15=""</formula>
    </cfRule>
  </conditionalFormatting>
  <conditionalFormatting sqref="E16:E67">
    <cfRule type="expression" dxfId="139" priority="22">
      <formula>$E$15=""</formula>
    </cfRule>
  </conditionalFormatting>
  <conditionalFormatting sqref="O17:O37 Q17:Q37 S17:S37 U17:U37 W17:W37 Y17:Y37 AA17:AA37 AC17:AC37 AE17:AE37">
    <cfRule type="expression" dxfId="138" priority="21">
      <formula>$C$2&lt;&gt;""</formula>
    </cfRule>
  </conditionalFormatting>
  <conditionalFormatting sqref="AD17:AE37">
    <cfRule type="expression" dxfId="137" priority="20">
      <formula>$AD$14=""</formula>
    </cfRule>
  </conditionalFormatting>
  <conditionalFormatting sqref="AB36:AC36 AB17:AC20 AB22:AC30">
    <cfRule type="expression" priority="19">
      <formula>$AB$14=""</formula>
    </cfRule>
  </conditionalFormatting>
  <conditionalFormatting sqref="X17:Y37">
    <cfRule type="expression" dxfId="136" priority="17">
      <formula>$X$14=""</formula>
    </cfRule>
  </conditionalFormatting>
  <conditionalFormatting sqref="V17:W37">
    <cfRule type="expression" dxfId="135" priority="16">
      <formula>$V$14=""</formula>
    </cfRule>
  </conditionalFormatting>
  <conditionalFormatting sqref="T17:U37">
    <cfRule type="expression" dxfId="134" priority="15">
      <formula>$T$14=""</formula>
    </cfRule>
  </conditionalFormatting>
  <conditionalFormatting sqref="R17:S37">
    <cfRule type="expression" dxfId="133" priority="14">
      <formula>$R$14=""</formula>
    </cfRule>
  </conditionalFormatting>
  <conditionalFormatting sqref="P36:Q36 P17:Q20 P22:Q30">
    <cfRule type="expression" dxfId="132" priority="13">
      <formula>$P$14=""</formula>
    </cfRule>
  </conditionalFormatting>
  <conditionalFormatting sqref="Z17:AA37">
    <cfRule type="expression" dxfId="131" priority="12">
      <formula>$Z$14=""</formula>
    </cfRule>
  </conditionalFormatting>
  <conditionalFormatting sqref="U34 S34 Q34">
    <cfRule type="expression" dxfId="130" priority="11">
      <formula>$C$2&lt;&gt;""</formula>
    </cfRule>
  </conditionalFormatting>
  <conditionalFormatting sqref="AE34 AC34 AA34 Y34 W34">
    <cfRule type="expression" dxfId="129" priority="10">
      <formula>$C$2&lt;&gt;""</formula>
    </cfRule>
  </conditionalFormatting>
  <conditionalFormatting sqref="AB17:AC37">
    <cfRule type="expression" dxfId="128" priority="18">
      <formula>$AB$14=""</formula>
    </cfRule>
  </conditionalFormatting>
  <conditionalFormatting sqref="O17:O37">
    <cfRule type="expression" dxfId="127" priority="9">
      <formula>$O$13&lt;0</formula>
    </cfRule>
  </conditionalFormatting>
  <conditionalFormatting sqref="Q17:Q37">
    <cfRule type="expression" dxfId="126" priority="8">
      <formula>$Q$13&lt;0</formula>
    </cfRule>
  </conditionalFormatting>
  <conditionalFormatting sqref="S17:S37">
    <cfRule type="expression" dxfId="125" priority="7">
      <formula>$S$13&lt;0</formula>
    </cfRule>
  </conditionalFormatting>
  <conditionalFormatting sqref="T43:T48 T50:T60">
    <cfRule type="expression" dxfId="124" priority="6">
      <formula>$T$41=""</formula>
    </cfRule>
  </conditionalFormatting>
  <conditionalFormatting sqref="S43:S48 S50:S60">
    <cfRule type="expression" dxfId="123" priority="5">
      <formula>$S$41=""</formula>
    </cfRule>
  </conditionalFormatting>
  <conditionalFormatting sqref="N10:V12">
    <cfRule type="expression" dxfId="122" priority="4">
      <formula>$N$10&lt;&gt;""</formula>
    </cfRule>
  </conditionalFormatting>
  <conditionalFormatting sqref="N15:AE16">
    <cfRule type="cellIs" dxfId="121" priority="3" operator="notEqual">
      <formula>""</formula>
    </cfRule>
  </conditionalFormatting>
  <conditionalFormatting sqref="C13:K13">
    <cfRule type="cellIs" dxfId="120" priority="2" operator="notEqual">
      <formula>""</formula>
    </cfRule>
  </conditionalFormatting>
  <conditionalFormatting sqref="N41:T41">
    <cfRule type="cellIs" dxfId="119" priority="1" operator="notEqual">
      <formula>""</formula>
    </cfRule>
  </conditionalFormatting>
  <dataValidations count="1">
    <dataValidation type="list" allowBlank="1" showInputMessage="1" showErrorMessage="1" sqref="C10" xr:uid="{32A959A8-8398-4928-BAA2-F9DABA2307F6}">
      <formula1>"3,4,5"</formula1>
    </dataValidation>
  </dataValidation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2D218-BCF9-4AA7-8E67-C039E8DEE87E}">
  <sheetPr codeName="Foglio7"/>
  <dimension ref="A1:DB317"/>
  <sheetViews>
    <sheetView topLeftCell="BT55" zoomScale="70" zoomScaleNormal="70" workbookViewId="0">
      <selection activeCell="BX2" sqref="BX2:BX185"/>
    </sheetView>
  </sheetViews>
  <sheetFormatPr defaultColWidth="9.1796875" defaultRowHeight="14.5" x14ac:dyDescent="0.35"/>
  <cols>
    <col min="1" max="2" width="9.1796875" style="608" hidden="1" customWidth="1"/>
    <col min="3" max="3" width="31.54296875" style="608" hidden="1" customWidth="1"/>
    <col min="4" max="4" width="22.81640625" style="608" hidden="1" customWidth="1"/>
    <col min="5" max="5" width="9.1796875" style="608" hidden="1" customWidth="1"/>
    <col min="6" max="6" width="24.453125" style="608" hidden="1" customWidth="1"/>
    <col min="7" max="7" width="29.7265625" style="608" hidden="1" customWidth="1"/>
    <col min="8" max="8" width="9.1796875" style="608" hidden="1" customWidth="1"/>
    <col min="9" max="9" width="22.81640625" style="608" hidden="1" customWidth="1"/>
    <col min="10" max="10" width="9.1796875" style="608" hidden="1" customWidth="1"/>
    <col min="11" max="11" width="19.1796875" style="608" hidden="1" customWidth="1"/>
    <col min="12" max="12" width="21.1796875" style="608" hidden="1" customWidth="1"/>
    <col min="13" max="13" width="15" style="608" hidden="1" customWidth="1"/>
    <col min="14" max="14" width="19.7265625" style="608" hidden="1" customWidth="1"/>
    <col min="15" max="15" width="8.7265625" style="608" hidden="1" customWidth="1"/>
    <col min="16" max="17" width="24.453125" style="608" hidden="1" customWidth="1"/>
    <col min="18" max="18" width="19.26953125" style="608" hidden="1" customWidth="1"/>
    <col min="19" max="19" width="17.1796875" style="608" hidden="1" customWidth="1"/>
    <col min="20" max="20" width="9.1796875" style="608" hidden="1" customWidth="1"/>
    <col min="21" max="21" width="21.1796875" style="608" hidden="1" customWidth="1"/>
    <col min="22" max="24" width="19.26953125" style="608" hidden="1" customWidth="1"/>
    <col min="25" max="25" width="7.26953125" style="608" hidden="1" customWidth="1"/>
    <col min="26" max="26" width="12.81640625" style="608" hidden="1" customWidth="1"/>
    <col min="27" max="28" width="17.1796875" style="608" hidden="1" customWidth="1"/>
    <col min="29" max="29" width="17.453125" style="608" hidden="1" customWidth="1"/>
    <col min="30" max="30" width="21.54296875" style="608" hidden="1" customWidth="1"/>
    <col min="31" max="31" width="8.453125" style="608" hidden="1" customWidth="1"/>
    <col min="32" max="32" width="19.1796875" style="608" hidden="1" customWidth="1"/>
    <col min="33" max="33" width="7.1796875" style="608" hidden="1" customWidth="1"/>
    <col min="34" max="36" width="27.1796875" style="608" hidden="1" customWidth="1"/>
    <col min="37" max="37" width="7.1796875" style="608" hidden="1" customWidth="1"/>
    <col min="38" max="38" width="14.453125" style="608" hidden="1" customWidth="1"/>
    <col min="39" max="39" width="17.1796875" style="608" hidden="1" customWidth="1"/>
    <col min="40" max="40" width="6.81640625" style="608" hidden="1" customWidth="1"/>
    <col min="41" max="41" width="13.1796875" style="608" hidden="1" customWidth="1"/>
    <col min="42" max="42" width="16.7265625" style="608" hidden="1" customWidth="1"/>
    <col min="43" max="48" width="17.81640625" style="608" hidden="1" customWidth="1"/>
    <col min="49" max="49" width="7" style="608" hidden="1" customWidth="1"/>
    <col min="50" max="50" width="19.1796875" style="608" hidden="1" customWidth="1"/>
    <col min="51" max="51" width="5.453125" style="608" hidden="1" customWidth="1"/>
    <col min="52" max="52" width="11.54296875" style="608" hidden="1" customWidth="1"/>
    <col min="53" max="53" width="15.1796875" style="608" hidden="1" customWidth="1"/>
    <col min="54" max="57" width="20" style="608" hidden="1" customWidth="1"/>
    <col min="58" max="58" width="9.1796875" style="608" hidden="1" customWidth="1"/>
    <col min="59" max="59" width="17" style="608" hidden="1" customWidth="1"/>
    <col min="60" max="60" width="17.54296875" style="608" hidden="1" customWidth="1"/>
    <col min="61" max="61" width="20.54296875" style="608" hidden="1" customWidth="1"/>
    <col min="62" max="63" width="25.1796875" style="608" hidden="1" customWidth="1"/>
    <col min="64" max="64" width="7.54296875" style="608" hidden="1" customWidth="1"/>
    <col min="65" max="65" width="21.453125" style="608" hidden="1" customWidth="1"/>
    <col min="66" max="66" width="19.81640625" style="608" hidden="1" customWidth="1"/>
    <col min="67" max="67" width="15.26953125" style="608" hidden="1" customWidth="1"/>
    <col min="68" max="68" width="13.26953125" style="608" hidden="1" customWidth="1"/>
    <col min="69" max="69" width="11.54296875" style="608" hidden="1" customWidth="1"/>
    <col min="70" max="70" width="24.54296875" style="608" hidden="1" customWidth="1"/>
    <col min="71" max="71" width="20.1796875" style="608" hidden="1" customWidth="1"/>
    <col min="72" max="72" width="16.453125" style="608" customWidth="1"/>
    <col min="73" max="73" width="15.7265625" style="608" customWidth="1"/>
    <col min="74" max="74" width="16.453125" style="608" customWidth="1"/>
    <col min="75" max="75" width="12.453125" style="608" customWidth="1"/>
    <col min="76" max="78" width="9.1796875" style="608" customWidth="1"/>
    <col min="79" max="83" width="9.1796875" style="608"/>
    <col min="84" max="84" width="7.54296875" style="608" customWidth="1"/>
    <col min="85" max="85" width="12" style="608" customWidth="1"/>
    <col min="86" max="86" width="9.7265625" style="608" customWidth="1"/>
    <col min="87" max="87" width="9.1796875" style="608"/>
    <col min="88" max="88" width="28" style="608" customWidth="1"/>
    <col min="89" max="89" width="16.7265625" style="608" customWidth="1"/>
    <col min="90" max="90" width="9.81640625" style="608" customWidth="1"/>
    <col min="91" max="91" width="19.54296875" style="608" bestFit="1" customWidth="1"/>
    <col min="92" max="92" width="9.1796875" style="608"/>
    <col min="93" max="93" width="13" style="608" bestFit="1" customWidth="1"/>
    <col min="94" max="94" width="27.26953125" style="608" bestFit="1" customWidth="1"/>
    <col min="95" max="95" width="22.453125" style="608" bestFit="1" customWidth="1"/>
    <col min="96" max="96" width="26.7265625" style="608" bestFit="1" customWidth="1"/>
    <col min="97" max="97" width="9.1796875" style="608"/>
    <col min="98" max="98" width="22.81640625" style="608" bestFit="1" customWidth="1"/>
    <col min="99" max="99" width="13.453125" style="608" bestFit="1" customWidth="1"/>
    <col min="100" max="103" width="9.1796875" style="608"/>
    <col min="104" max="104" width="35" style="608" customWidth="1"/>
    <col min="105" max="16384" width="9.1796875" style="608"/>
  </cols>
  <sheetData>
    <row r="1" spans="3:106" x14ac:dyDescent="0.35">
      <c r="AQ1" s="608" t="s">
        <v>627</v>
      </c>
      <c r="BT1" s="608" t="s">
        <v>628</v>
      </c>
      <c r="BU1" s="608" t="s">
        <v>629</v>
      </c>
      <c r="BV1" s="608" t="s">
        <v>630</v>
      </c>
      <c r="BW1" s="608" t="s">
        <v>631</v>
      </c>
      <c r="BX1" s="608" t="s">
        <v>632</v>
      </c>
      <c r="BY1" s="608" t="s">
        <v>633</v>
      </c>
      <c r="CA1" s="608" t="s">
        <v>629</v>
      </c>
      <c r="CB1" s="608" t="s">
        <v>630</v>
      </c>
      <c r="CE1" s="608" t="s">
        <v>693</v>
      </c>
      <c r="CF1" s="608" t="s">
        <v>634</v>
      </c>
      <c r="CG1" s="608" t="s">
        <v>635</v>
      </c>
      <c r="CH1" s="608" t="s">
        <v>636</v>
      </c>
      <c r="CJ1" s="608" t="s">
        <v>637</v>
      </c>
      <c r="CK1" s="608" t="s">
        <v>638</v>
      </c>
      <c r="CL1" s="608" t="s">
        <v>694</v>
      </c>
      <c r="CM1" s="608" t="s">
        <v>639</v>
      </c>
      <c r="CO1" s="608" t="s">
        <v>640</v>
      </c>
      <c r="CP1" s="608" t="s">
        <v>641</v>
      </c>
      <c r="CQ1" s="608" t="s">
        <v>642</v>
      </c>
      <c r="CR1" s="608" t="s">
        <v>643</v>
      </c>
      <c r="CT1" s="608" t="s">
        <v>644</v>
      </c>
      <c r="CU1" s="608" t="s">
        <v>645</v>
      </c>
      <c r="CZ1" s="608" t="s">
        <v>646</v>
      </c>
    </row>
    <row r="2" spans="3:106" x14ac:dyDescent="0.35">
      <c r="C2" s="608" t="s">
        <v>647</v>
      </c>
      <c r="D2" s="608" t="s">
        <v>648</v>
      </c>
      <c r="E2" s="608" t="s">
        <v>649</v>
      </c>
      <c r="F2" s="608" t="s">
        <v>650</v>
      </c>
      <c r="G2" s="608" t="s">
        <v>651</v>
      </c>
      <c r="H2" s="608" t="s">
        <v>631</v>
      </c>
      <c r="I2" s="608" t="s">
        <v>648</v>
      </c>
      <c r="K2" s="612" t="s">
        <v>652</v>
      </c>
      <c r="L2" t="s">
        <v>653</v>
      </c>
      <c r="M2" s="608" t="s">
        <v>654</v>
      </c>
      <c r="N2" t="s">
        <v>655</v>
      </c>
      <c r="P2" s="612" t="s">
        <v>656</v>
      </c>
      <c r="Q2" s="608" t="s">
        <v>657</v>
      </c>
      <c r="R2" s="612" t="s">
        <v>658</v>
      </c>
      <c r="S2" s="608" t="s">
        <v>659</v>
      </c>
      <c r="T2" s="608" t="s">
        <v>660</v>
      </c>
      <c r="U2" s="608" t="s">
        <v>661</v>
      </c>
      <c r="V2" s="608" t="s">
        <v>662</v>
      </c>
      <c r="W2" s="608" t="s">
        <v>663</v>
      </c>
      <c r="X2" s="608" t="s">
        <v>664</v>
      </c>
      <c r="Y2" s="612" t="s">
        <v>665</v>
      </c>
      <c r="Z2" s="608" t="s">
        <v>666</v>
      </c>
      <c r="AA2" s="608" t="s">
        <v>667</v>
      </c>
      <c r="AB2" t="s">
        <v>668</v>
      </c>
      <c r="AC2" s="612" t="s">
        <v>669</v>
      </c>
      <c r="AD2" s="608" t="s">
        <v>670</v>
      </c>
      <c r="AE2" s="608" t="s">
        <v>671</v>
      </c>
      <c r="AF2" s="608" t="s">
        <v>672</v>
      </c>
      <c r="AG2" s="612" t="s">
        <v>673</v>
      </c>
      <c r="AH2" s="608" t="s">
        <v>674</v>
      </c>
      <c r="AI2" t="s">
        <v>675</v>
      </c>
      <c r="AJ2" t="s">
        <v>676</v>
      </c>
      <c r="AK2" s="608" t="s">
        <v>677</v>
      </c>
      <c r="AL2" s="612" t="s">
        <v>678</v>
      </c>
      <c r="AM2" t="s">
        <v>679</v>
      </c>
      <c r="AN2" t="s">
        <v>680</v>
      </c>
      <c r="AO2" s="612" t="s">
        <v>681</v>
      </c>
      <c r="AP2" s="608" t="s">
        <v>682</v>
      </c>
      <c r="AQ2" t="s">
        <v>683</v>
      </c>
      <c r="AR2" t="s">
        <v>684</v>
      </c>
      <c r="AS2" t="s">
        <v>627</v>
      </c>
      <c r="AT2" t="s">
        <v>685</v>
      </c>
      <c r="AU2" t="s">
        <v>686</v>
      </c>
      <c r="AV2" t="s">
        <v>687</v>
      </c>
      <c r="AW2" s="612" t="s">
        <v>636</v>
      </c>
      <c r="AX2" t="s">
        <v>644</v>
      </c>
      <c r="AY2" t="s">
        <v>645</v>
      </c>
      <c r="AZ2" s="1234" t="s">
        <v>635</v>
      </c>
      <c r="BA2" t="s">
        <v>688</v>
      </c>
      <c r="BB2" t="s">
        <v>640</v>
      </c>
      <c r="BC2" t="s">
        <v>641</v>
      </c>
      <c r="BD2" t="s">
        <v>642</v>
      </c>
      <c r="BE2" t="s">
        <v>643</v>
      </c>
      <c r="BF2" s="612" t="s">
        <v>634</v>
      </c>
      <c r="BG2" s="608" t="s">
        <v>689</v>
      </c>
      <c r="BH2" s="608" t="s">
        <v>639</v>
      </c>
      <c r="BI2" t="s">
        <v>690</v>
      </c>
      <c r="BJ2" t="s">
        <v>691</v>
      </c>
      <c r="BK2" t="s">
        <v>692</v>
      </c>
      <c r="BL2" s="612" t="s">
        <v>693</v>
      </c>
      <c r="BM2" t="s">
        <v>637</v>
      </c>
      <c r="BN2" t="s">
        <v>638</v>
      </c>
      <c r="BO2" t="s">
        <v>694</v>
      </c>
      <c r="BP2" t="s">
        <v>695</v>
      </c>
      <c r="BQ2" s="612"/>
      <c r="BT2" s="608" t="s">
        <v>696</v>
      </c>
      <c r="BU2" s="608" t="s">
        <v>636</v>
      </c>
      <c r="BV2" s="608" t="s">
        <v>644</v>
      </c>
      <c r="BX2" s="608">
        <v>1</v>
      </c>
      <c r="BY2" s="608" t="s">
        <v>697</v>
      </c>
      <c r="CA2" s="608" t="s">
        <v>636</v>
      </c>
      <c r="CB2" s="608" t="s">
        <v>644</v>
      </c>
      <c r="CE2" s="608" t="s">
        <v>698</v>
      </c>
      <c r="CF2" s="608" t="s">
        <v>639</v>
      </c>
      <c r="CG2" s="608" t="s">
        <v>640</v>
      </c>
      <c r="CH2" s="608" t="s">
        <v>644</v>
      </c>
      <c r="CJ2" s="608" t="s">
        <v>1444</v>
      </c>
      <c r="CK2" s="608" t="s">
        <v>700</v>
      </c>
      <c r="CL2" s="608" t="s">
        <v>1483</v>
      </c>
      <c r="CM2" s="608" t="s">
        <v>701</v>
      </c>
      <c r="CO2" s="608" t="s">
        <v>702</v>
      </c>
      <c r="CP2" s="608" t="s">
        <v>703</v>
      </c>
      <c r="CQ2" s="608" t="s">
        <v>704</v>
      </c>
      <c r="CR2" s="608" t="s">
        <v>705</v>
      </c>
      <c r="CT2" s="608" t="s">
        <v>696</v>
      </c>
      <c r="CU2" s="608" t="s">
        <v>706</v>
      </c>
      <c r="CZ2" s="1328" t="s">
        <v>707</v>
      </c>
    </row>
    <row r="3" spans="3:106" x14ac:dyDescent="0.35">
      <c r="C3" s="608" t="s">
        <v>708</v>
      </c>
      <c r="D3" s="608" t="s">
        <v>708</v>
      </c>
      <c r="F3" s="608" t="s">
        <v>652</v>
      </c>
      <c r="G3" s="608" t="s">
        <v>653</v>
      </c>
      <c r="H3" s="608" t="s">
        <v>709</v>
      </c>
      <c r="I3" s="608" t="s">
        <v>708</v>
      </c>
      <c r="K3" s="608" t="s">
        <v>655</v>
      </c>
      <c r="L3" t="s">
        <v>708</v>
      </c>
      <c r="M3" t="s">
        <v>710</v>
      </c>
      <c r="N3" t="s">
        <v>711</v>
      </c>
      <c r="P3" s="608" t="s">
        <v>657</v>
      </c>
      <c r="Q3" s="608" t="s">
        <v>712</v>
      </c>
      <c r="R3" s="608" t="s">
        <v>659</v>
      </c>
      <c r="S3" t="s">
        <v>713</v>
      </c>
      <c r="T3" t="s">
        <v>714</v>
      </c>
      <c r="U3" t="s">
        <v>715</v>
      </c>
      <c r="V3" t="s">
        <v>716</v>
      </c>
      <c r="W3" t="s">
        <v>717</v>
      </c>
      <c r="X3" t="s">
        <v>718</v>
      </c>
      <c r="Y3" s="608" t="s">
        <v>668</v>
      </c>
      <c r="Z3" s="608" t="s">
        <v>666</v>
      </c>
      <c r="AA3" t="s">
        <v>719</v>
      </c>
      <c r="AB3" t="s">
        <v>720</v>
      </c>
      <c r="AC3" s="608" t="s">
        <v>670</v>
      </c>
      <c r="AD3" t="s">
        <v>721</v>
      </c>
      <c r="AE3" t="s">
        <v>722</v>
      </c>
      <c r="AF3" t="s">
        <v>723</v>
      </c>
      <c r="AG3" s="608" t="s">
        <v>675</v>
      </c>
      <c r="AH3" t="s">
        <v>724</v>
      </c>
      <c r="AI3" t="s">
        <v>725</v>
      </c>
      <c r="AJ3" t="s">
        <v>726</v>
      </c>
      <c r="AK3" t="s">
        <v>727</v>
      </c>
      <c r="AL3" s="608" t="s">
        <v>679</v>
      </c>
      <c r="AM3" t="s">
        <v>728</v>
      </c>
      <c r="AN3" t="s">
        <v>729</v>
      </c>
      <c r="AO3" t="s">
        <v>682</v>
      </c>
      <c r="AP3" s="608" t="s">
        <v>730</v>
      </c>
      <c r="AQ3" t="s">
        <v>731</v>
      </c>
      <c r="AR3" t="s">
        <v>732</v>
      </c>
      <c r="AS3" t="s">
        <v>733</v>
      </c>
      <c r="AT3" t="s">
        <v>734</v>
      </c>
      <c r="AU3" t="s">
        <v>686</v>
      </c>
      <c r="AV3" t="s">
        <v>735</v>
      </c>
      <c r="AW3" s="608" t="s">
        <v>644</v>
      </c>
      <c r="AX3" t="s">
        <v>736</v>
      </c>
      <c r="AY3" t="s">
        <v>737</v>
      </c>
      <c r="AZ3" t="s">
        <v>688</v>
      </c>
      <c r="BA3" t="s">
        <v>738</v>
      </c>
      <c r="BB3" t="s">
        <v>739</v>
      </c>
      <c r="BC3" t="s">
        <v>740</v>
      </c>
      <c r="BD3" t="s">
        <v>704</v>
      </c>
      <c r="BE3" t="s">
        <v>705</v>
      </c>
      <c r="BF3" s="608" t="s">
        <v>689</v>
      </c>
      <c r="BG3" s="608" t="s">
        <v>741</v>
      </c>
      <c r="BH3" s="608" t="s">
        <v>701</v>
      </c>
      <c r="BI3" t="s">
        <v>742</v>
      </c>
      <c r="BJ3" t="s">
        <v>743</v>
      </c>
      <c r="BK3" t="s">
        <v>744</v>
      </c>
      <c r="BL3" s="608" t="s">
        <v>698</v>
      </c>
      <c r="BM3" t="s">
        <v>745</v>
      </c>
      <c r="BN3" t="s">
        <v>746</v>
      </c>
      <c r="BO3" t="s">
        <v>747</v>
      </c>
      <c r="BP3" t="s">
        <v>748</v>
      </c>
      <c r="BT3" s="608" t="s">
        <v>749</v>
      </c>
      <c r="BU3" s="608" t="s">
        <v>636</v>
      </c>
      <c r="BV3" s="608" t="s">
        <v>644</v>
      </c>
      <c r="BX3" s="608">
        <v>1</v>
      </c>
      <c r="BY3" s="608" t="s">
        <v>697</v>
      </c>
      <c r="CA3" s="608" t="s">
        <v>635</v>
      </c>
      <c r="CB3" s="608" t="s">
        <v>645</v>
      </c>
      <c r="CE3" s="608" t="s">
        <v>694</v>
      </c>
      <c r="CF3" s="608" t="s">
        <v>750</v>
      </c>
      <c r="CG3" s="608" t="s">
        <v>642</v>
      </c>
      <c r="CH3" s="608" t="s">
        <v>645</v>
      </c>
      <c r="CJ3" s="608" t="s">
        <v>1445</v>
      </c>
      <c r="CK3" s="608" t="s">
        <v>1469</v>
      </c>
      <c r="CL3" s="608" t="s">
        <v>840</v>
      </c>
      <c r="CM3" s="608" t="s">
        <v>752</v>
      </c>
      <c r="CO3" s="608" t="s">
        <v>753</v>
      </c>
      <c r="CP3" s="608" t="s">
        <v>740</v>
      </c>
      <c r="CQ3" s="608" t="s">
        <v>754</v>
      </c>
      <c r="CR3" s="608" t="s">
        <v>755</v>
      </c>
      <c r="CT3" s="608" t="s">
        <v>749</v>
      </c>
      <c r="CU3" s="608" t="s">
        <v>756</v>
      </c>
      <c r="CZ3" s="608" t="s">
        <v>757</v>
      </c>
      <c r="DB3" s="1328"/>
    </row>
    <row r="4" spans="3:106" x14ac:dyDescent="0.35">
      <c r="C4" s="608" t="s">
        <v>758</v>
      </c>
      <c r="D4" s="608" t="s">
        <v>758</v>
      </c>
      <c r="F4" s="608" t="s">
        <v>652</v>
      </c>
      <c r="G4" s="608" t="s">
        <v>653</v>
      </c>
      <c r="H4" s="608" t="s">
        <v>709</v>
      </c>
      <c r="I4" s="608" t="s">
        <v>758</v>
      </c>
      <c r="K4" s="608" t="s">
        <v>653</v>
      </c>
      <c r="L4" t="s">
        <v>759</v>
      </c>
      <c r="M4" t="s">
        <v>654</v>
      </c>
      <c r="N4" t="s">
        <v>760</v>
      </c>
      <c r="P4" s="608" t="s">
        <v>761</v>
      </c>
      <c r="Q4" s="608" t="s">
        <v>762</v>
      </c>
      <c r="R4" s="608" t="s">
        <v>660</v>
      </c>
      <c r="S4" t="s">
        <v>763</v>
      </c>
      <c r="T4" t="s">
        <v>764</v>
      </c>
      <c r="U4" t="s">
        <v>765</v>
      </c>
      <c r="V4" t="s">
        <v>766</v>
      </c>
      <c r="W4" t="s">
        <v>767</v>
      </c>
      <c r="X4" t="s">
        <v>768</v>
      </c>
      <c r="Y4" s="608" t="s">
        <v>666</v>
      </c>
      <c r="Z4" s="608" t="s">
        <v>761</v>
      </c>
      <c r="AA4" t="s">
        <v>769</v>
      </c>
      <c r="AB4" t="s">
        <v>770</v>
      </c>
      <c r="AC4" s="608" t="s">
        <v>671</v>
      </c>
      <c r="AD4" t="s">
        <v>771</v>
      </c>
      <c r="AE4" t="s">
        <v>772</v>
      </c>
      <c r="AF4" t="s">
        <v>773</v>
      </c>
      <c r="AG4" s="608" t="s">
        <v>674</v>
      </c>
      <c r="AH4" t="s">
        <v>774</v>
      </c>
      <c r="AI4" t="s">
        <v>775</v>
      </c>
      <c r="AJ4" t="s">
        <v>776</v>
      </c>
      <c r="AK4" t="s">
        <v>777</v>
      </c>
      <c r="AL4" s="608" t="s">
        <v>680</v>
      </c>
      <c r="AM4" t="s">
        <v>778</v>
      </c>
      <c r="AN4" t="s">
        <v>779</v>
      </c>
      <c r="AO4" t="s">
        <v>683</v>
      </c>
      <c r="AP4" t="s">
        <v>780</v>
      </c>
      <c r="AQ4" t="s">
        <v>781</v>
      </c>
      <c r="AR4" t="s">
        <v>782</v>
      </c>
      <c r="AS4" t="s">
        <v>627</v>
      </c>
      <c r="AT4" t="s">
        <v>783</v>
      </c>
      <c r="AU4" t="s">
        <v>784</v>
      </c>
      <c r="AV4" t="s">
        <v>785</v>
      </c>
      <c r="AW4" s="608" t="s">
        <v>645</v>
      </c>
      <c r="AX4" t="s">
        <v>786</v>
      </c>
      <c r="AY4" t="s">
        <v>787</v>
      </c>
      <c r="AZ4" t="s">
        <v>640</v>
      </c>
      <c r="BA4" t="s">
        <v>788</v>
      </c>
      <c r="BB4" t="s">
        <v>702</v>
      </c>
      <c r="BC4" t="s">
        <v>789</v>
      </c>
      <c r="BD4" s="46" t="s">
        <v>761</v>
      </c>
      <c r="BE4" t="s">
        <v>755</v>
      </c>
      <c r="BF4" s="608" t="s">
        <v>639</v>
      </c>
      <c r="BG4" s="608" t="s">
        <v>790</v>
      </c>
      <c r="BH4" s="608" t="s">
        <v>752</v>
      </c>
      <c r="BI4" t="s">
        <v>791</v>
      </c>
      <c r="BJ4" t="s">
        <v>792</v>
      </c>
      <c r="BK4" t="s">
        <v>793</v>
      </c>
      <c r="BL4" s="608" t="s">
        <v>638</v>
      </c>
      <c r="BM4" t="s">
        <v>794</v>
      </c>
      <c r="BN4" t="s">
        <v>795</v>
      </c>
      <c r="BO4" t="s">
        <v>796</v>
      </c>
      <c r="BP4" t="s">
        <v>797</v>
      </c>
      <c r="BT4" s="608" t="s">
        <v>798</v>
      </c>
      <c r="BU4" s="608" t="s">
        <v>636</v>
      </c>
      <c r="BV4" s="608" t="s">
        <v>644</v>
      </c>
      <c r="BX4" s="608">
        <v>1</v>
      </c>
      <c r="BY4" s="608" t="s">
        <v>697</v>
      </c>
      <c r="CA4" s="608" t="s">
        <v>634</v>
      </c>
      <c r="CB4" s="608" t="s">
        <v>640</v>
      </c>
      <c r="CE4" s="608" t="s">
        <v>638</v>
      </c>
      <c r="CG4" s="608" t="s">
        <v>643</v>
      </c>
      <c r="CH4" s="608" t="s">
        <v>750</v>
      </c>
      <c r="CJ4" s="608" t="s">
        <v>1446</v>
      </c>
      <c r="CK4" s="608" t="s">
        <v>1471</v>
      </c>
      <c r="CL4" s="608" t="s">
        <v>1014</v>
      </c>
      <c r="CM4" s="608" t="s">
        <v>800</v>
      </c>
      <c r="CO4" s="608" t="s">
        <v>750</v>
      </c>
      <c r="CP4" s="608" t="s">
        <v>789</v>
      </c>
      <c r="CQ4" s="608" t="s">
        <v>801</v>
      </c>
      <c r="CR4" s="608" t="s">
        <v>802</v>
      </c>
      <c r="CT4" s="608" t="s">
        <v>798</v>
      </c>
      <c r="CU4" s="608" t="s">
        <v>803</v>
      </c>
      <c r="CZ4" s="608" t="s">
        <v>804</v>
      </c>
    </row>
    <row r="5" spans="3:106" x14ac:dyDescent="0.35">
      <c r="C5" s="608" t="s">
        <v>805</v>
      </c>
      <c r="D5" s="608" t="s">
        <v>805</v>
      </c>
      <c r="F5" s="608" t="s">
        <v>652</v>
      </c>
      <c r="G5" s="608" t="s">
        <v>653</v>
      </c>
      <c r="H5" s="608" t="s">
        <v>709</v>
      </c>
      <c r="I5" s="608" t="s">
        <v>805</v>
      </c>
      <c r="K5" s="608" t="s">
        <v>654</v>
      </c>
      <c r="L5" t="s">
        <v>806</v>
      </c>
      <c r="M5" t="s">
        <v>807</v>
      </c>
      <c r="N5" t="s">
        <v>808</v>
      </c>
      <c r="Q5" s="608" t="s">
        <v>809</v>
      </c>
      <c r="R5" s="608" t="s">
        <v>661</v>
      </c>
      <c r="S5" t="s">
        <v>810</v>
      </c>
      <c r="T5" t="s">
        <v>811</v>
      </c>
      <c r="U5" t="s">
        <v>812</v>
      </c>
      <c r="V5" t="s">
        <v>813</v>
      </c>
      <c r="W5" t="s">
        <v>814</v>
      </c>
      <c r="X5" t="s">
        <v>815</v>
      </c>
      <c r="Y5" s="608" t="s">
        <v>667</v>
      </c>
      <c r="AA5" t="s">
        <v>816</v>
      </c>
      <c r="AB5" t="s">
        <v>817</v>
      </c>
      <c r="AC5" s="608" t="s">
        <v>672</v>
      </c>
      <c r="AD5" t="s">
        <v>818</v>
      </c>
      <c r="AE5" t="s">
        <v>819</v>
      </c>
      <c r="AF5" t="s">
        <v>820</v>
      </c>
      <c r="AG5" s="608" t="s">
        <v>677</v>
      </c>
      <c r="AH5" t="s">
        <v>821</v>
      </c>
      <c r="AI5" t="s">
        <v>822</v>
      </c>
      <c r="AJ5" t="s">
        <v>676</v>
      </c>
      <c r="AK5" t="s">
        <v>823</v>
      </c>
      <c r="AL5" s="608" t="s">
        <v>761</v>
      </c>
      <c r="AM5" t="s">
        <v>824</v>
      </c>
      <c r="AN5" t="s">
        <v>825</v>
      </c>
      <c r="AO5" t="s">
        <v>684</v>
      </c>
      <c r="AP5" t="s">
        <v>826</v>
      </c>
      <c r="AQ5" t="s">
        <v>683</v>
      </c>
      <c r="AR5" t="s">
        <v>684</v>
      </c>
      <c r="AS5" t="s">
        <v>827</v>
      </c>
      <c r="AT5" t="s">
        <v>828</v>
      </c>
      <c r="AU5" t="s">
        <v>829</v>
      </c>
      <c r="AV5" t="s">
        <v>687</v>
      </c>
      <c r="AW5" s="608" t="s">
        <v>761</v>
      </c>
      <c r="AX5" t="s">
        <v>830</v>
      </c>
      <c r="AY5" t="s">
        <v>645</v>
      </c>
      <c r="AZ5" t="s">
        <v>641</v>
      </c>
      <c r="BA5" s="46" t="s">
        <v>761</v>
      </c>
      <c r="BB5" t="s">
        <v>831</v>
      </c>
      <c r="BC5" t="s">
        <v>832</v>
      </c>
      <c r="BD5"/>
      <c r="BE5" t="s">
        <v>833</v>
      </c>
      <c r="BF5" s="608" t="s">
        <v>690</v>
      </c>
      <c r="BG5" s="608" t="s">
        <v>834</v>
      </c>
      <c r="BH5" s="608" t="s">
        <v>800</v>
      </c>
      <c r="BI5" t="s">
        <v>835</v>
      </c>
      <c r="BJ5" t="s">
        <v>836</v>
      </c>
      <c r="BK5" t="s">
        <v>837</v>
      </c>
      <c r="BL5" s="608" t="s">
        <v>694</v>
      </c>
      <c r="BM5" t="s">
        <v>838</v>
      </c>
      <c r="BN5" t="s">
        <v>839</v>
      </c>
      <c r="BO5" t="s">
        <v>840</v>
      </c>
      <c r="BP5" t="s">
        <v>841</v>
      </c>
      <c r="BT5" s="608" t="s">
        <v>842</v>
      </c>
      <c r="BU5" s="608" t="s">
        <v>636</v>
      </c>
      <c r="BV5" s="608" t="s">
        <v>644</v>
      </c>
      <c r="BX5" s="608">
        <v>1</v>
      </c>
      <c r="BY5" s="608" t="s">
        <v>697</v>
      </c>
      <c r="CA5" s="608" t="s">
        <v>693</v>
      </c>
      <c r="CB5" s="608" t="s">
        <v>641</v>
      </c>
      <c r="CE5" s="608" t="s">
        <v>750</v>
      </c>
      <c r="CG5" s="608" t="s">
        <v>641</v>
      </c>
      <c r="CJ5" s="608" t="s">
        <v>1447</v>
      </c>
      <c r="CK5" s="608" t="s">
        <v>1472</v>
      </c>
      <c r="CL5" s="608" t="s">
        <v>1484</v>
      </c>
      <c r="CM5" s="608" t="s">
        <v>844</v>
      </c>
      <c r="CP5" s="608" t="s">
        <v>832</v>
      </c>
      <c r="CQ5" s="608" t="s">
        <v>642</v>
      </c>
      <c r="CR5" s="608" t="s">
        <v>845</v>
      </c>
      <c r="CT5" s="608" t="s">
        <v>842</v>
      </c>
      <c r="CU5" s="608" t="s">
        <v>846</v>
      </c>
      <c r="CZ5" s="608" t="s">
        <v>847</v>
      </c>
    </row>
    <row r="6" spans="3:106" x14ac:dyDescent="0.35">
      <c r="C6" s="608" t="s">
        <v>848</v>
      </c>
      <c r="D6" s="608" t="s">
        <v>848</v>
      </c>
      <c r="F6" s="608" t="s">
        <v>652</v>
      </c>
      <c r="G6" s="608" t="s">
        <v>653</v>
      </c>
      <c r="H6" s="608" t="s">
        <v>709</v>
      </c>
      <c r="I6" s="608" t="s">
        <v>848</v>
      </c>
      <c r="K6" s="608" t="s">
        <v>761</v>
      </c>
      <c r="L6" t="s">
        <v>849</v>
      </c>
      <c r="M6" t="s">
        <v>850</v>
      </c>
      <c r="N6" t="s">
        <v>851</v>
      </c>
      <c r="Q6" s="608" t="s">
        <v>852</v>
      </c>
      <c r="R6" s="608" t="s">
        <v>662</v>
      </c>
      <c r="S6" t="s">
        <v>853</v>
      </c>
      <c r="T6" t="s">
        <v>854</v>
      </c>
      <c r="U6" t="s">
        <v>855</v>
      </c>
      <c r="V6" t="s">
        <v>856</v>
      </c>
      <c r="W6" t="s">
        <v>857</v>
      </c>
      <c r="X6" t="s">
        <v>664</v>
      </c>
      <c r="Y6" s="608" t="s">
        <v>761</v>
      </c>
      <c r="AA6" t="s">
        <v>858</v>
      </c>
      <c r="AB6" t="s">
        <v>859</v>
      </c>
      <c r="AC6" s="608" t="s">
        <v>761</v>
      </c>
      <c r="AD6" t="s">
        <v>860</v>
      </c>
      <c r="AE6" t="s">
        <v>671</v>
      </c>
      <c r="AF6" t="s">
        <v>861</v>
      </c>
      <c r="AG6" s="608" t="s">
        <v>676</v>
      </c>
      <c r="AH6" t="s">
        <v>862</v>
      </c>
      <c r="AI6" t="s">
        <v>863</v>
      </c>
      <c r="AJ6" t="s">
        <v>864</v>
      </c>
      <c r="AK6" t="s">
        <v>865</v>
      </c>
      <c r="AM6" t="s">
        <v>679</v>
      </c>
      <c r="AN6" t="s">
        <v>866</v>
      </c>
      <c r="AO6" t="s">
        <v>627</v>
      </c>
      <c r="AP6" s="46" t="s">
        <v>761</v>
      </c>
      <c r="AQ6" t="s">
        <v>867</v>
      </c>
      <c r="AR6" s="46" t="s">
        <v>761</v>
      </c>
      <c r="AS6" t="s">
        <v>868</v>
      </c>
      <c r="AT6" t="s">
        <v>869</v>
      </c>
      <c r="AU6" t="s">
        <v>870</v>
      </c>
      <c r="AV6" t="s">
        <v>871</v>
      </c>
      <c r="AX6" t="s">
        <v>696</v>
      </c>
      <c r="AY6" s="46" t="s">
        <v>761</v>
      </c>
      <c r="AZ6" t="s">
        <v>642</v>
      </c>
      <c r="BA6"/>
      <c r="BB6" t="s">
        <v>753</v>
      </c>
      <c r="BC6" t="s">
        <v>872</v>
      </c>
      <c r="BD6"/>
      <c r="BE6" t="s">
        <v>802</v>
      </c>
      <c r="BF6" s="608" t="s">
        <v>691</v>
      </c>
      <c r="BG6" s="608" t="s">
        <v>873</v>
      </c>
      <c r="BH6" s="608" t="s">
        <v>844</v>
      </c>
      <c r="BI6" t="s">
        <v>874</v>
      </c>
      <c r="BJ6" t="s">
        <v>875</v>
      </c>
      <c r="BK6" t="s">
        <v>692</v>
      </c>
      <c r="BL6" s="608" t="s">
        <v>695</v>
      </c>
      <c r="BM6" t="s">
        <v>876</v>
      </c>
      <c r="BN6" t="s">
        <v>877</v>
      </c>
      <c r="BO6" t="s">
        <v>878</v>
      </c>
      <c r="BP6" t="s">
        <v>879</v>
      </c>
      <c r="BT6" s="608" t="s">
        <v>880</v>
      </c>
      <c r="BU6" s="608" t="s">
        <v>636</v>
      </c>
      <c r="BV6" s="608" t="s">
        <v>644</v>
      </c>
      <c r="BX6" s="608">
        <v>1</v>
      </c>
      <c r="BY6" s="608" t="s">
        <v>697</v>
      </c>
      <c r="CB6" s="608" t="s">
        <v>642</v>
      </c>
      <c r="CG6" s="608" t="s">
        <v>750</v>
      </c>
      <c r="CJ6" s="608" t="s">
        <v>1448</v>
      </c>
      <c r="CK6" s="608" t="s">
        <v>1473</v>
      </c>
      <c r="CL6" s="608" t="s">
        <v>1080</v>
      </c>
      <c r="CM6" s="608" t="s">
        <v>882</v>
      </c>
      <c r="CP6" s="608" t="s">
        <v>872</v>
      </c>
      <c r="CQ6" s="608" t="s">
        <v>883</v>
      </c>
      <c r="CR6" s="608" t="s">
        <v>884</v>
      </c>
      <c r="CT6" s="608" t="s">
        <v>880</v>
      </c>
      <c r="CU6" s="608" t="s">
        <v>750</v>
      </c>
      <c r="CZ6" s="608" t="s">
        <v>885</v>
      </c>
    </row>
    <row r="7" spans="3:106" x14ac:dyDescent="0.35">
      <c r="C7" s="608" t="s">
        <v>886</v>
      </c>
      <c r="D7" s="608" t="s">
        <v>886</v>
      </c>
      <c r="F7" s="608" t="s">
        <v>652</v>
      </c>
      <c r="G7" s="608" t="s">
        <v>653</v>
      </c>
      <c r="H7" s="608" t="s">
        <v>709</v>
      </c>
      <c r="I7" s="608" t="s">
        <v>886</v>
      </c>
      <c r="L7" t="s">
        <v>805</v>
      </c>
      <c r="M7" t="s">
        <v>887</v>
      </c>
      <c r="N7" t="s">
        <v>888</v>
      </c>
      <c r="Q7" s="608" t="s">
        <v>889</v>
      </c>
      <c r="R7" s="608" t="s">
        <v>663</v>
      </c>
      <c r="S7" t="s">
        <v>890</v>
      </c>
      <c r="T7" t="s">
        <v>891</v>
      </c>
      <c r="U7" t="s">
        <v>892</v>
      </c>
      <c r="V7" t="s">
        <v>893</v>
      </c>
      <c r="W7" t="s">
        <v>894</v>
      </c>
      <c r="X7" t="s">
        <v>895</v>
      </c>
      <c r="AA7" t="s">
        <v>896</v>
      </c>
      <c r="AB7" t="s">
        <v>897</v>
      </c>
      <c r="AD7" t="s">
        <v>898</v>
      </c>
      <c r="AE7" t="s">
        <v>899</v>
      </c>
      <c r="AF7" t="s">
        <v>900</v>
      </c>
      <c r="AG7" s="608" t="s">
        <v>761</v>
      </c>
      <c r="AH7" t="s">
        <v>901</v>
      </c>
      <c r="AI7" t="s">
        <v>902</v>
      </c>
      <c r="AJ7" t="s">
        <v>903</v>
      </c>
      <c r="AK7" t="s">
        <v>904</v>
      </c>
      <c r="AM7" s="46" t="s">
        <v>761</v>
      </c>
      <c r="AN7" t="s">
        <v>905</v>
      </c>
      <c r="AO7" t="s">
        <v>685</v>
      </c>
      <c r="AQ7" s="46" t="s">
        <v>761</v>
      </c>
      <c r="AS7" s="46" t="s">
        <v>761</v>
      </c>
      <c r="AT7" t="s">
        <v>906</v>
      </c>
      <c r="AU7" s="46" t="s">
        <v>761</v>
      </c>
      <c r="AV7" s="46" t="s">
        <v>761</v>
      </c>
      <c r="AX7" t="s">
        <v>907</v>
      </c>
      <c r="AY7"/>
      <c r="AZ7" t="s">
        <v>643</v>
      </c>
      <c r="BA7"/>
      <c r="BB7" t="s">
        <v>908</v>
      </c>
      <c r="BC7" t="s">
        <v>909</v>
      </c>
      <c r="BD7"/>
      <c r="BE7" t="s">
        <v>643</v>
      </c>
      <c r="BF7" s="608" t="s">
        <v>692</v>
      </c>
      <c r="BG7" s="608" t="s">
        <v>910</v>
      </c>
      <c r="BH7" s="608" t="s">
        <v>882</v>
      </c>
      <c r="BI7" t="s">
        <v>911</v>
      </c>
      <c r="BJ7" t="s">
        <v>691</v>
      </c>
      <c r="BK7" t="s">
        <v>912</v>
      </c>
      <c r="BL7" s="608" t="s">
        <v>761</v>
      </c>
      <c r="BM7" t="s">
        <v>913</v>
      </c>
      <c r="BN7" t="s">
        <v>914</v>
      </c>
      <c r="BO7" t="s">
        <v>915</v>
      </c>
      <c r="BP7" t="s">
        <v>916</v>
      </c>
      <c r="BT7" s="608" t="s">
        <v>917</v>
      </c>
      <c r="BU7" s="608" t="s">
        <v>636</v>
      </c>
      <c r="BV7" s="608" t="s">
        <v>644</v>
      </c>
      <c r="BX7" s="608">
        <v>1</v>
      </c>
      <c r="BY7" s="608" t="s">
        <v>697</v>
      </c>
      <c r="CB7" s="608" t="s">
        <v>643</v>
      </c>
      <c r="CJ7" s="608" t="s">
        <v>707</v>
      </c>
      <c r="CK7" s="608" t="s">
        <v>1474</v>
      </c>
      <c r="CL7" s="608" t="s">
        <v>1485</v>
      </c>
      <c r="CM7" s="608" t="s">
        <v>919</v>
      </c>
      <c r="CP7" s="608" t="s">
        <v>909</v>
      </c>
      <c r="CQ7" s="608" t="s">
        <v>920</v>
      </c>
      <c r="CR7" s="608" t="s">
        <v>921</v>
      </c>
      <c r="CT7" s="608" t="s">
        <v>917</v>
      </c>
      <c r="CZ7" s="608" t="s">
        <v>922</v>
      </c>
    </row>
    <row r="8" spans="3:106" x14ac:dyDescent="0.35">
      <c r="C8" s="608" t="s">
        <v>923</v>
      </c>
      <c r="D8" s="608" t="s">
        <v>923</v>
      </c>
      <c r="F8" s="608" t="s">
        <v>652</v>
      </c>
      <c r="G8" s="608" t="s">
        <v>653</v>
      </c>
      <c r="H8" s="608" t="s">
        <v>709</v>
      </c>
      <c r="I8" s="608" t="s">
        <v>923</v>
      </c>
      <c r="L8" t="s">
        <v>848</v>
      </c>
      <c r="M8" t="s">
        <v>924</v>
      </c>
      <c r="N8" t="s">
        <v>925</v>
      </c>
      <c r="Q8" s="608" t="s">
        <v>926</v>
      </c>
      <c r="R8" s="608" t="s">
        <v>664</v>
      </c>
      <c r="S8" t="s">
        <v>927</v>
      </c>
      <c r="T8" t="s">
        <v>928</v>
      </c>
      <c r="U8" t="s">
        <v>929</v>
      </c>
      <c r="V8" t="s">
        <v>930</v>
      </c>
      <c r="W8" t="s">
        <v>931</v>
      </c>
      <c r="X8" t="s">
        <v>932</v>
      </c>
      <c r="AA8" t="s">
        <v>933</v>
      </c>
      <c r="AB8" t="s">
        <v>934</v>
      </c>
      <c r="AD8" t="s">
        <v>935</v>
      </c>
      <c r="AE8" t="s">
        <v>936</v>
      </c>
      <c r="AF8" s="46" t="s">
        <v>761</v>
      </c>
      <c r="AH8" t="s">
        <v>937</v>
      </c>
      <c r="AI8" t="s">
        <v>938</v>
      </c>
      <c r="AJ8" s="46" t="s">
        <v>761</v>
      </c>
      <c r="AK8" t="s">
        <v>939</v>
      </c>
      <c r="AM8"/>
      <c r="AN8" t="s">
        <v>680</v>
      </c>
      <c r="AO8" t="s">
        <v>686</v>
      </c>
      <c r="AS8"/>
      <c r="AT8" s="46" t="s">
        <v>761</v>
      </c>
      <c r="AU8" s="46"/>
      <c r="AV8"/>
      <c r="AX8" t="s">
        <v>749</v>
      </c>
      <c r="AY8"/>
      <c r="AZ8" s="46" t="s">
        <v>761</v>
      </c>
      <c r="BA8"/>
      <c r="BB8" t="s">
        <v>940</v>
      </c>
      <c r="BC8" t="s">
        <v>941</v>
      </c>
      <c r="BD8"/>
      <c r="BE8" t="s">
        <v>942</v>
      </c>
      <c r="BF8" s="608" t="s">
        <v>761</v>
      </c>
      <c r="BG8" s="608" t="s">
        <v>943</v>
      </c>
      <c r="BH8" s="608" t="s">
        <v>919</v>
      </c>
      <c r="BI8" t="s">
        <v>944</v>
      </c>
      <c r="BJ8" t="s">
        <v>945</v>
      </c>
      <c r="BK8" s="46" t="s">
        <v>761</v>
      </c>
      <c r="BM8" t="s">
        <v>946</v>
      </c>
      <c r="BN8" t="s">
        <v>947</v>
      </c>
      <c r="BO8" t="s">
        <v>948</v>
      </c>
      <c r="BP8" t="s">
        <v>695</v>
      </c>
      <c r="BT8" s="608" t="s">
        <v>949</v>
      </c>
      <c r="BU8" s="608" t="s">
        <v>636</v>
      </c>
      <c r="BV8" s="608" t="s">
        <v>644</v>
      </c>
      <c r="BX8" s="608">
        <v>1</v>
      </c>
      <c r="BY8" s="608" t="s">
        <v>697</v>
      </c>
      <c r="CB8" s="608" t="s">
        <v>639</v>
      </c>
      <c r="CJ8" s="608" t="s">
        <v>1449</v>
      </c>
      <c r="CK8" s="608" t="s">
        <v>847</v>
      </c>
      <c r="CL8" s="608" t="s">
        <v>1188</v>
      </c>
      <c r="CM8" s="608" t="s">
        <v>951</v>
      </c>
      <c r="CP8" s="608" t="s">
        <v>941</v>
      </c>
      <c r="CQ8" s="608" t="s">
        <v>952</v>
      </c>
      <c r="CR8" s="608" t="s">
        <v>953</v>
      </c>
      <c r="CT8" s="608" t="s">
        <v>949</v>
      </c>
      <c r="CZ8" s="608" t="s">
        <v>752</v>
      </c>
    </row>
    <row r="9" spans="3:106" x14ac:dyDescent="0.35">
      <c r="C9" s="608" t="s">
        <v>954</v>
      </c>
      <c r="D9" s="608" t="s">
        <v>954</v>
      </c>
      <c r="F9" s="608" t="s">
        <v>652</v>
      </c>
      <c r="G9" s="608" t="s">
        <v>653</v>
      </c>
      <c r="H9" s="608" t="s">
        <v>709</v>
      </c>
      <c r="I9" s="608" t="s">
        <v>954</v>
      </c>
      <c r="L9" t="s">
        <v>955</v>
      </c>
      <c r="M9" t="s">
        <v>956</v>
      </c>
      <c r="N9" t="s">
        <v>957</v>
      </c>
      <c r="Q9" s="608" t="s">
        <v>958</v>
      </c>
      <c r="R9" s="608" t="s">
        <v>761</v>
      </c>
      <c r="S9" t="s">
        <v>959</v>
      </c>
      <c r="T9" t="s">
        <v>960</v>
      </c>
      <c r="U9" t="s">
        <v>961</v>
      </c>
      <c r="V9" t="s">
        <v>962</v>
      </c>
      <c r="W9" t="s">
        <v>963</v>
      </c>
      <c r="X9" t="s">
        <v>964</v>
      </c>
      <c r="AA9" t="s">
        <v>965</v>
      </c>
      <c r="AB9" t="s">
        <v>966</v>
      </c>
      <c r="AD9" t="s">
        <v>967</v>
      </c>
      <c r="AE9" t="s">
        <v>968</v>
      </c>
      <c r="AF9"/>
      <c r="AH9" t="s">
        <v>969</v>
      </c>
      <c r="AI9" t="s">
        <v>970</v>
      </c>
      <c r="AK9" t="s">
        <v>971</v>
      </c>
      <c r="AM9"/>
      <c r="AN9" t="s">
        <v>972</v>
      </c>
      <c r="AO9" t="s">
        <v>687</v>
      </c>
      <c r="AS9"/>
      <c r="AT9"/>
      <c r="AU9"/>
      <c r="AV9"/>
      <c r="AX9" t="s">
        <v>973</v>
      </c>
      <c r="AY9"/>
      <c r="BA9"/>
      <c r="BB9" t="s">
        <v>974</v>
      </c>
      <c r="BC9" t="s">
        <v>975</v>
      </c>
      <c r="BD9"/>
      <c r="BE9" t="s">
        <v>845</v>
      </c>
      <c r="BG9" s="608" t="s">
        <v>976</v>
      </c>
      <c r="BH9" s="608" t="s">
        <v>977</v>
      </c>
      <c r="BI9" t="s">
        <v>978</v>
      </c>
      <c r="BJ9" t="s">
        <v>979</v>
      </c>
      <c r="BM9" t="s">
        <v>980</v>
      </c>
      <c r="BN9" t="s">
        <v>981</v>
      </c>
      <c r="BO9" t="s">
        <v>982</v>
      </c>
      <c r="BP9" t="s">
        <v>983</v>
      </c>
      <c r="BT9" s="608" t="s">
        <v>984</v>
      </c>
      <c r="BU9" s="608" t="s">
        <v>636</v>
      </c>
      <c r="BV9" s="608" t="s">
        <v>644</v>
      </c>
      <c r="BX9" s="608">
        <v>1</v>
      </c>
      <c r="BY9" s="608" t="s">
        <v>697</v>
      </c>
      <c r="CB9" s="608" t="s">
        <v>637</v>
      </c>
      <c r="CJ9" s="608" t="s">
        <v>757</v>
      </c>
      <c r="CK9" s="608" t="s">
        <v>1475</v>
      </c>
      <c r="CL9" s="608" t="s">
        <v>1486</v>
      </c>
      <c r="CM9" s="608" t="s">
        <v>986</v>
      </c>
      <c r="CP9" s="608" t="s">
        <v>975</v>
      </c>
      <c r="CQ9" s="608" t="s">
        <v>987</v>
      </c>
      <c r="CR9" s="608" t="s">
        <v>988</v>
      </c>
      <c r="CT9" s="608" t="s">
        <v>984</v>
      </c>
      <c r="CZ9" s="608" t="s">
        <v>701</v>
      </c>
    </row>
    <row r="10" spans="3:106" x14ac:dyDescent="0.35">
      <c r="C10" s="608" t="s">
        <v>989</v>
      </c>
      <c r="D10" s="608" t="s">
        <v>989</v>
      </c>
      <c r="F10" s="608" t="s">
        <v>652</v>
      </c>
      <c r="G10" s="608" t="s">
        <v>653</v>
      </c>
      <c r="H10" s="608" t="s">
        <v>709</v>
      </c>
      <c r="I10" s="608" t="s">
        <v>989</v>
      </c>
      <c r="L10" t="s">
        <v>990</v>
      </c>
      <c r="M10" t="s">
        <v>991</v>
      </c>
      <c r="N10" t="s">
        <v>992</v>
      </c>
      <c r="Q10" s="608" t="s">
        <v>993</v>
      </c>
      <c r="S10" t="s">
        <v>994</v>
      </c>
      <c r="T10" t="s">
        <v>995</v>
      </c>
      <c r="U10" t="s">
        <v>996</v>
      </c>
      <c r="V10" t="s">
        <v>997</v>
      </c>
      <c r="W10" t="s">
        <v>998</v>
      </c>
      <c r="X10" t="s">
        <v>999</v>
      </c>
      <c r="AA10" t="s">
        <v>1000</v>
      </c>
      <c r="AB10" t="s">
        <v>1001</v>
      </c>
      <c r="AD10" t="s">
        <v>1002</v>
      </c>
      <c r="AE10" t="s">
        <v>1003</v>
      </c>
      <c r="AF10"/>
      <c r="AH10" t="s">
        <v>1004</v>
      </c>
      <c r="AI10" t="s">
        <v>1005</v>
      </c>
      <c r="AK10" t="s">
        <v>1006</v>
      </c>
      <c r="AM10"/>
      <c r="AN10" t="s">
        <v>1007</v>
      </c>
      <c r="AO10" t="s">
        <v>761</v>
      </c>
      <c r="AX10" t="s">
        <v>1008</v>
      </c>
      <c r="AY10"/>
      <c r="BA10"/>
      <c r="BB10" t="s">
        <v>1009</v>
      </c>
      <c r="BC10" t="s">
        <v>1010</v>
      </c>
      <c r="BD10"/>
      <c r="BE10" t="s">
        <v>884</v>
      </c>
      <c r="BG10" s="608" t="s">
        <v>1011</v>
      </c>
      <c r="BH10" s="608" t="s">
        <v>951</v>
      </c>
      <c r="BI10" t="s">
        <v>690</v>
      </c>
      <c r="BJ10" t="s">
        <v>1012</v>
      </c>
      <c r="BK10"/>
      <c r="BM10" t="s">
        <v>637</v>
      </c>
      <c r="BN10" t="s">
        <v>1013</v>
      </c>
      <c r="BO10" t="s">
        <v>1014</v>
      </c>
      <c r="BP10" t="s">
        <v>1015</v>
      </c>
      <c r="BT10" s="608" t="s">
        <v>1016</v>
      </c>
      <c r="BU10" s="608" t="s">
        <v>636</v>
      </c>
      <c r="BV10" s="608" t="s">
        <v>644</v>
      </c>
      <c r="BX10" s="608">
        <v>1</v>
      </c>
      <c r="BY10" s="608" t="s">
        <v>697</v>
      </c>
      <c r="CB10" s="608" t="s">
        <v>638</v>
      </c>
      <c r="CJ10" s="608" t="s">
        <v>1450</v>
      </c>
      <c r="CK10" s="608" t="s">
        <v>1476</v>
      </c>
      <c r="CL10" s="608" t="s">
        <v>750</v>
      </c>
      <c r="CM10" s="608" t="s">
        <v>1018</v>
      </c>
      <c r="CP10" s="608" t="s">
        <v>1010</v>
      </c>
      <c r="CQ10" s="608" t="s">
        <v>1019</v>
      </c>
      <c r="CR10" s="608" t="s">
        <v>1020</v>
      </c>
      <c r="CT10" s="608" t="s">
        <v>1016</v>
      </c>
      <c r="CZ10" s="608" t="s">
        <v>1021</v>
      </c>
    </row>
    <row r="11" spans="3:106" x14ac:dyDescent="0.35">
      <c r="C11" s="608" t="s">
        <v>1022</v>
      </c>
      <c r="D11" s="608" t="s">
        <v>1022</v>
      </c>
      <c r="F11" s="608" t="s">
        <v>652</v>
      </c>
      <c r="G11" s="608" t="s">
        <v>653</v>
      </c>
      <c r="H11" s="608" t="s">
        <v>709</v>
      </c>
      <c r="I11" s="608" t="s">
        <v>1022</v>
      </c>
      <c r="L11" t="s">
        <v>886</v>
      </c>
      <c r="M11" t="s">
        <v>1023</v>
      </c>
      <c r="N11" t="s">
        <v>1024</v>
      </c>
      <c r="Q11" s="608" t="s">
        <v>1025</v>
      </c>
      <c r="S11" t="s">
        <v>1026</v>
      </c>
      <c r="T11" t="s">
        <v>1027</v>
      </c>
      <c r="U11" t="s">
        <v>1028</v>
      </c>
      <c r="V11" t="s">
        <v>1029</v>
      </c>
      <c r="W11" t="s">
        <v>1030</v>
      </c>
      <c r="X11" t="s">
        <v>1031</v>
      </c>
      <c r="AA11" t="s">
        <v>1032</v>
      </c>
      <c r="AB11" t="s">
        <v>1033</v>
      </c>
      <c r="AD11" t="s">
        <v>1034</v>
      </c>
      <c r="AE11" t="s">
        <v>1035</v>
      </c>
      <c r="AF11"/>
      <c r="AH11" t="s">
        <v>1036</v>
      </c>
      <c r="AI11" t="s">
        <v>1037</v>
      </c>
      <c r="AK11" t="s">
        <v>1038</v>
      </c>
      <c r="AM11"/>
      <c r="AN11" t="s">
        <v>1039</v>
      </c>
      <c r="AX11" t="s">
        <v>1040</v>
      </c>
      <c r="AY11"/>
      <c r="BA11"/>
      <c r="BB11" t="s">
        <v>1041</v>
      </c>
      <c r="BC11" t="s">
        <v>1042</v>
      </c>
      <c r="BD11"/>
      <c r="BE11" t="s">
        <v>921</v>
      </c>
      <c r="BG11" s="608" t="s">
        <v>1043</v>
      </c>
      <c r="BH11" s="608" t="s">
        <v>986</v>
      </c>
      <c r="BI11" t="s">
        <v>1044</v>
      </c>
      <c r="BJ11" t="s">
        <v>1045</v>
      </c>
      <c r="BK11"/>
      <c r="BM11" t="s">
        <v>1046</v>
      </c>
      <c r="BN11" t="s">
        <v>1047</v>
      </c>
      <c r="BO11" t="s">
        <v>1048</v>
      </c>
      <c r="BP11" t="s">
        <v>1049</v>
      </c>
      <c r="BT11" s="608" t="s">
        <v>1050</v>
      </c>
      <c r="BU11" s="608" t="s">
        <v>636</v>
      </c>
      <c r="BV11" s="608" t="s">
        <v>644</v>
      </c>
      <c r="BW11" s="608" t="s">
        <v>709</v>
      </c>
      <c r="BX11" s="608">
        <v>1</v>
      </c>
      <c r="BY11" s="608" t="s">
        <v>697</v>
      </c>
      <c r="CB11" s="608" t="s">
        <v>694</v>
      </c>
      <c r="CJ11" s="608" t="s">
        <v>1451</v>
      </c>
      <c r="CK11" s="608" t="s">
        <v>1477</v>
      </c>
      <c r="CM11" s="608" t="s">
        <v>1021</v>
      </c>
      <c r="CP11" s="608" t="s">
        <v>1042</v>
      </c>
      <c r="CQ11" s="608" t="s">
        <v>1052</v>
      </c>
      <c r="CR11" s="608" t="s">
        <v>1053</v>
      </c>
      <c r="CT11" s="608" t="s">
        <v>1050</v>
      </c>
      <c r="CZ11" s="608" t="s">
        <v>1018</v>
      </c>
    </row>
    <row r="12" spans="3:106" x14ac:dyDescent="0.35">
      <c r="C12" s="608" t="s">
        <v>1054</v>
      </c>
      <c r="D12" s="608" t="s">
        <v>1054</v>
      </c>
      <c r="F12" s="608" t="s">
        <v>652</v>
      </c>
      <c r="G12" s="608" t="s">
        <v>653</v>
      </c>
      <c r="H12" s="608" t="s">
        <v>709</v>
      </c>
      <c r="I12" s="608" t="s">
        <v>1054</v>
      </c>
      <c r="L12" t="s">
        <v>923</v>
      </c>
      <c r="M12" t="s">
        <v>1055</v>
      </c>
      <c r="N12" t="s">
        <v>1056</v>
      </c>
      <c r="Q12" s="608" t="s">
        <v>1057</v>
      </c>
      <c r="S12" t="s">
        <v>1058</v>
      </c>
      <c r="T12" t="s">
        <v>1059</v>
      </c>
      <c r="U12" t="s">
        <v>1060</v>
      </c>
      <c r="V12" t="s">
        <v>1061</v>
      </c>
      <c r="W12" t="s">
        <v>1062</v>
      </c>
      <c r="X12" t="s">
        <v>1063</v>
      </c>
      <c r="AA12" t="s">
        <v>1064</v>
      </c>
      <c r="AB12" t="s">
        <v>1065</v>
      </c>
      <c r="AD12" t="s">
        <v>1066</v>
      </c>
      <c r="AE12" t="s">
        <v>1067</v>
      </c>
      <c r="AF12"/>
      <c r="AH12" t="s">
        <v>1068</v>
      </c>
      <c r="AI12" t="s">
        <v>1069</v>
      </c>
      <c r="AK12" t="s">
        <v>1070</v>
      </c>
      <c r="AM12"/>
      <c r="AN12" t="s">
        <v>1071</v>
      </c>
      <c r="AX12" t="s">
        <v>1072</v>
      </c>
      <c r="AY12"/>
      <c r="BA12"/>
      <c r="BB12" t="s">
        <v>1073</v>
      </c>
      <c r="BC12" t="s">
        <v>1074</v>
      </c>
      <c r="BD12"/>
      <c r="BE12" t="s">
        <v>953</v>
      </c>
      <c r="BG12" s="608" t="s">
        <v>1075</v>
      </c>
      <c r="BH12" s="608" t="s">
        <v>1018</v>
      </c>
      <c r="BI12" t="s">
        <v>1076</v>
      </c>
      <c r="BJ12" t="s">
        <v>1077</v>
      </c>
      <c r="BK12"/>
      <c r="BM12" t="s">
        <v>1078</v>
      </c>
      <c r="BN12" t="s">
        <v>1079</v>
      </c>
      <c r="BO12" t="s">
        <v>1080</v>
      </c>
      <c r="BP12" t="s">
        <v>1081</v>
      </c>
      <c r="BT12" s="608" t="s">
        <v>1082</v>
      </c>
      <c r="BU12" s="608" t="s">
        <v>636</v>
      </c>
      <c r="BV12" s="608" t="s">
        <v>644</v>
      </c>
      <c r="BX12" s="608">
        <v>1</v>
      </c>
      <c r="BY12" s="608" t="s">
        <v>697</v>
      </c>
      <c r="CJ12" s="608" t="s">
        <v>913</v>
      </c>
      <c r="CK12" s="608" t="s">
        <v>1478</v>
      </c>
      <c r="CM12" s="608" t="s">
        <v>1084</v>
      </c>
      <c r="CP12" s="608" t="s">
        <v>1074</v>
      </c>
      <c r="CQ12" s="608" t="s">
        <v>1085</v>
      </c>
      <c r="CR12" s="608" t="s">
        <v>1086</v>
      </c>
      <c r="CT12" s="608" t="s">
        <v>1082</v>
      </c>
      <c r="CZ12" s="608" t="s">
        <v>1087</v>
      </c>
    </row>
    <row r="13" spans="3:106" x14ac:dyDescent="0.35">
      <c r="C13" s="608" t="s">
        <v>1088</v>
      </c>
      <c r="D13" s="608" t="s">
        <v>1088</v>
      </c>
      <c r="F13" s="608" t="s">
        <v>652</v>
      </c>
      <c r="G13" s="608" t="s">
        <v>653</v>
      </c>
      <c r="H13" s="608" t="s">
        <v>709</v>
      </c>
      <c r="I13" s="608" t="s">
        <v>1088</v>
      </c>
      <c r="L13" t="s">
        <v>989</v>
      </c>
      <c r="M13" t="s">
        <v>1089</v>
      </c>
      <c r="N13" t="s">
        <v>1090</v>
      </c>
      <c r="Q13" s="608" t="s">
        <v>1091</v>
      </c>
      <c r="S13" t="s">
        <v>1092</v>
      </c>
      <c r="T13" t="s">
        <v>1093</v>
      </c>
      <c r="U13" t="s">
        <v>1094</v>
      </c>
      <c r="V13" t="s">
        <v>1095</v>
      </c>
      <c r="W13" s="46" t="s">
        <v>761</v>
      </c>
      <c r="X13" t="s">
        <v>1096</v>
      </c>
      <c r="AA13" t="s">
        <v>1097</v>
      </c>
      <c r="AB13" t="s">
        <v>1098</v>
      </c>
      <c r="AD13" t="s">
        <v>1099</v>
      </c>
      <c r="AE13" t="s">
        <v>1100</v>
      </c>
      <c r="AF13"/>
      <c r="AH13" t="s">
        <v>1101</v>
      </c>
      <c r="AI13" t="s">
        <v>1102</v>
      </c>
      <c r="AK13" t="s">
        <v>677</v>
      </c>
      <c r="AM13"/>
      <c r="AN13" t="s">
        <v>1103</v>
      </c>
      <c r="AX13" t="s">
        <v>1104</v>
      </c>
      <c r="AY13"/>
      <c r="BA13"/>
      <c r="BB13" t="s">
        <v>1105</v>
      </c>
      <c r="BC13" t="s">
        <v>1106</v>
      </c>
      <c r="BD13"/>
      <c r="BE13" t="s">
        <v>988</v>
      </c>
      <c r="BG13" s="608" t="s">
        <v>1107</v>
      </c>
      <c r="BH13" s="608" t="s">
        <v>1108</v>
      </c>
      <c r="BI13" t="s">
        <v>1109</v>
      </c>
      <c r="BJ13" t="s">
        <v>1110</v>
      </c>
      <c r="BK13"/>
      <c r="BM13" t="s">
        <v>1111</v>
      </c>
      <c r="BN13" t="s">
        <v>1112</v>
      </c>
      <c r="BO13" t="s">
        <v>1113</v>
      </c>
      <c r="BP13" t="s">
        <v>1114</v>
      </c>
      <c r="BT13" s="608" t="s">
        <v>706</v>
      </c>
      <c r="BU13" s="608" t="s">
        <v>636</v>
      </c>
      <c r="BV13" s="608" t="s">
        <v>645</v>
      </c>
      <c r="BY13" s="608" t="s">
        <v>697</v>
      </c>
      <c r="CJ13" s="608" t="s">
        <v>1453</v>
      </c>
      <c r="CK13" s="608" t="s">
        <v>1479</v>
      </c>
      <c r="CM13" s="608" t="s">
        <v>1116</v>
      </c>
      <c r="CP13" s="608" t="s">
        <v>1117</v>
      </c>
      <c r="CQ13" s="608" t="s">
        <v>1118</v>
      </c>
      <c r="CR13" s="608" t="s">
        <v>1119</v>
      </c>
      <c r="CT13" s="608" t="s">
        <v>750</v>
      </c>
      <c r="CZ13" s="608" t="s">
        <v>844</v>
      </c>
    </row>
    <row r="14" spans="3:106" x14ac:dyDescent="0.35">
      <c r="C14" s="608" t="s">
        <v>1120</v>
      </c>
      <c r="D14" s="608" t="s">
        <v>1120</v>
      </c>
      <c r="F14" s="608" t="s">
        <v>652</v>
      </c>
      <c r="G14" s="608" t="s">
        <v>653</v>
      </c>
      <c r="H14" s="608" t="s">
        <v>709</v>
      </c>
      <c r="I14" s="608" t="s">
        <v>1120</v>
      </c>
      <c r="L14" t="s">
        <v>1121</v>
      </c>
      <c r="M14" t="s">
        <v>1122</v>
      </c>
      <c r="N14" t="s">
        <v>1123</v>
      </c>
      <c r="Q14" s="608" t="s">
        <v>1124</v>
      </c>
      <c r="S14" t="s">
        <v>1125</v>
      </c>
      <c r="T14" t="s">
        <v>1126</v>
      </c>
      <c r="U14" t="s">
        <v>1127</v>
      </c>
      <c r="V14" s="46" t="s">
        <v>761</v>
      </c>
      <c r="W14"/>
      <c r="X14" t="s">
        <v>1128</v>
      </c>
      <c r="AA14" t="s">
        <v>1129</v>
      </c>
      <c r="AB14" t="s">
        <v>1130</v>
      </c>
      <c r="AD14" t="s">
        <v>1131</v>
      </c>
      <c r="AE14" s="46" t="s">
        <v>761</v>
      </c>
      <c r="AF14"/>
      <c r="AH14" t="s">
        <v>1132</v>
      </c>
      <c r="AI14" t="s">
        <v>1133</v>
      </c>
      <c r="AK14" t="s">
        <v>1134</v>
      </c>
      <c r="AM14"/>
      <c r="AN14" t="s">
        <v>1135</v>
      </c>
      <c r="AX14" t="s">
        <v>1136</v>
      </c>
      <c r="AY14"/>
      <c r="BA14"/>
      <c r="BB14" t="s">
        <v>1137</v>
      </c>
      <c r="BC14" t="s">
        <v>1117</v>
      </c>
      <c r="BD14"/>
      <c r="BE14" t="s">
        <v>1020</v>
      </c>
      <c r="BG14" s="608" t="s">
        <v>1138</v>
      </c>
      <c r="BH14" s="608" t="s">
        <v>1139</v>
      </c>
      <c r="BI14" t="s">
        <v>1140</v>
      </c>
      <c r="BJ14" s="46" t="s">
        <v>761</v>
      </c>
      <c r="BK14" s="46"/>
      <c r="BM14" t="s">
        <v>843</v>
      </c>
      <c r="BN14" t="s">
        <v>638</v>
      </c>
      <c r="BO14" t="s">
        <v>1141</v>
      </c>
      <c r="BP14" t="s">
        <v>1142</v>
      </c>
      <c r="BT14" s="608" t="s">
        <v>756</v>
      </c>
      <c r="BU14" s="608" t="s">
        <v>636</v>
      </c>
      <c r="BV14" s="608" t="s">
        <v>645</v>
      </c>
      <c r="BY14" s="608" t="s">
        <v>697</v>
      </c>
      <c r="CJ14" s="608" t="s">
        <v>1454</v>
      </c>
      <c r="CK14" s="608" t="s">
        <v>1480</v>
      </c>
      <c r="CM14" s="608" t="s">
        <v>1087</v>
      </c>
      <c r="CP14" s="608" t="s">
        <v>1144</v>
      </c>
      <c r="CQ14" s="608" t="s">
        <v>1145</v>
      </c>
      <c r="CR14" s="608" t="s">
        <v>1146</v>
      </c>
      <c r="CZ14" s="608" t="s">
        <v>832</v>
      </c>
    </row>
    <row r="15" spans="3:106" x14ac:dyDescent="0.35">
      <c r="C15" s="608" t="s">
        <v>1147</v>
      </c>
      <c r="D15" s="608" t="s">
        <v>1147</v>
      </c>
      <c r="F15" s="608" t="s">
        <v>652</v>
      </c>
      <c r="G15" s="608" t="s">
        <v>653</v>
      </c>
      <c r="H15" s="608" t="s">
        <v>709</v>
      </c>
      <c r="I15" s="608" t="s">
        <v>1147</v>
      </c>
      <c r="L15" t="s">
        <v>1148</v>
      </c>
      <c r="M15" t="s">
        <v>1149</v>
      </c>
      <c r="N15" t="s">
        <v>1150</v>
      </c>
      <c r="Q15" s="608" t="s">
        <v>1151</v>
      </c>
      <c r="S15" t="s">
        <v>1152</v>
      </c>
      <c r="T15" t="s">
        <v>1153</v>
      </c>
      <c r="U15" t="s">
        <v>1154</v>
      </c>
      <c r="V15"/>
      <c r="W15"/>
      <c r="X15" t="s">
        <v>1155</v>
      </c>
      <c r="AA15" t="s">
        <v>667</v>
      </c>
      <c r="AB15" t="s">
        <v>1156</v>
      </c>
      <c r="AD15" s="46" t="s">
        <v>761</v>
      </c>
      <c r="AE15"/>
      <c r="AF15"/>
      <c r="AH15" t="s">
        <v>1157</v>
      </c>
      <c r="AI15" t="s">
        <v>1158</v>
      </c>
      <c r="AK15" t="s">
        <v>1159</v>
      </c>
      <c r="AM15"/>
      <c r="AN15" t="s">
        <v>1160</v>
      </c>
      <c r="AX15" t="s">
        <v>1161</v>
      </c>
      <c r="AY15"/>
      <c r="BA15"/>
      <c r="BB15" s="46" t="s">
        <v>761</v>
      </c>
      <c r="BC15" t="s">
        <v>1144</v>
      </c>
      <c r="BD15"/>
      <c r="BE15" t="s">
        <v>1162</v>
      </c>
      <c r="BG15" s="608" t="s">
        <v>1163</v>
      </c>
      <c r="BH15" s="608" t="s">
        <v>1021</v>
      </c>
      <c r="BI15" s="46" t="s">
        <v>761</v>
      </c>
      <c r="BJ15"/>
      <c r="BK15"/>
      <c r="BM15" t="s">
        <v>1164</v>
      </c>
      <c r="BN15" t="s">
        <v>1165</v>
      </c>
      <c r="BO15" t="s">
        <v>694</v>
      </c>
      <c r="BP15" t="s">
        <v>1166</v>
      </c>
      <c r="BT15" s="608" t="s">
        <v>803</v>
      </c>
      <c r="BU15" s="608" t="s">
        <v>636</v>
      </c>
      <c r="BV15" s="608" t="s">
        <v>645</v>
      </c>
      <c r="BY15" s="608" t="s">
        <v>697</v>
      </c>
      <c r="CJ15" s="608" t="s">
        <v>1455</v>
      </c>
      <c r="CK15" s="608" t="s">
        <v>1481</v>
      </c>
      <c r="CM15" s="608" t="s">
        <v>639</v>
      </c>
      <c r="CP15" s="608" t="s">
        <v>1168</v>
      </c>
      <c r="CQ15" s="608" t="s">
        <v>1169</v>
      </c>
      <c r="CR15" s="608" t="s">
        <v>1170</v>
      </c>
      <c r="CZ15" s="608" t="s">
        <v>872</v>
      </c>
    </row>
    <row r="16" spans="3:106" x14ac:dyDescent="0.35">
      <c r="C16" s="608" t="s">
        <v>1171</v>
      </c>
      <c r="D16" s="608" t="s">
        <v>1171</v>
      </c>
      <c r="F16" s="608" t="s">
        <v>652</v>
      </c>
      <c r="G16" s="608" t="s">
        <v>653</v>
      </c>
      <c r="H16" s="608" t="s">
        <v>709</v>
      </c>
      <c r="I16" s="608" t="s">
        <v>1171</v>
      </c>
      <c r="L16" t="s">
        <v>1172</v>
      </c>
      <c r="M16" t="s">
        <v>1173</v>
      </c>
      <c r="N16" t="s">
        <v>1174</v>
      </c>
      <c r="Q16" s="608" t="s">
        <v>1175</v>
      </c>
      <c r="S16" t="s">
        <v>1176</v>
      </c>
      <c r="T16" t="s">
        <v>1177</v>
      </c>
      <c r="U16" t="s">
        <v>1178</v>
      </c>
      <c r="V16"/>
      <c r="W16"/>
      <c r="X16" s="46" t="s">
        <v>761</v>
      </c>
      <c r="AA16" t="s">
        <v>1179</v>
      </c>
      <c r="AB16" t="s">
        <v>1180</v>
      </c>
      <c r="AH16" t="s">
        <v>1181</v>
      </c>
      <c r="AI16" t="s">
        <v>1182</v>
      </c>
      <c r="AK16" t="s">
        <v>1183</v>
      </c>
      <c r="AM16"/>
      <c r="AN16" t="s">
        <v>1184</v>
      </c>
      <c r="AX16" t="s">
        <v>1185</v>
      </c>
      <c r="AY16"/>
      <c r="BA16"/>
      <c r="BB16"/>
      <c r="BC16" t="s">
        <v>1168</v>
      </c>
      <c r="BD16"/>
      <c r="BE16" t="s">
        <v>1053</v>
      </c>
      <c r="BG16" s="608" t="s">
        <v>689</v>
      </c>
      <c r="BH16" s="608" t="s">
        <v>1186</v>
      </c>
      <c r="BM16" t="s">
        <v>1187</v>
      </c>
      <c r="BN16" s="46" t="s">
        <v>761</v>
      </c>
      <c r="BO16" t="s">
        <v>1188</v>
      </c>
      <c r="BP16" t="s">
        <v>1189</v>
      </c>
      <c r="BT16" s="608" t="s">
        <v>846</v>
      </c>
      <c r="BU16" s="608" t="s">
        <v>636</v>
      </c>
      <c r="BV16" s="608" t="s">
        <v>645</v>
      </c>
      <c r="BY16" s="608" t="s">
        <v>697</v>
      </c>
      <c r="CJ16" s="608" t="s">
        <v>1456</v>
      </c>
      <c r="CK16" s="608" t="s">
        <v>638</v>
      </c>
      <c r="CM16" s="608" t="s">
        <v>1191</v>
      </c>
      <c r="CP16" s="608" t="s">
        <v>1192</v>
      </c>
      <c r="CQ16" s="608" t="s">
        <v>1193</v>
      </c>
      <c r="CR16" s="608" t="s">
        <v>1194</v>
      </c>
      <c r="CZ16" s="608" t="s">
        <v>909</v>
      </c>
    </row>
    <row r="17" spans="3:104" x14ac:dyDescent="0.35">
      <c r="C17" s="608" t="s">
        <v>1195</v>
      </c>
      <c r="D17" s="608" t="s">
        <v>1195</v>
      </c>
      <c r="F17" s="608" t="s">
        <v>652</v>
      </c>
      <c r="G17" s="608" t="s">
        <v>653</v>
      </c>
      <c r="H17" s="608" t="s">
        <v>709</v>
      </c>
      <c r="I17" s="608" t="s">
        <v>1195</v>
      </c>
      <c r="L17" t="s">
        <v>1088</v>
      </c>
      <c r="M17" t="s">
        <v>1196</v>
      </c>
      <c r="N17" t="s">
        <v>1197</v>
      </c>
      <c r="Q17" s="608" t="s">
        <v>1198</v>
      </c>
      <c r="S17" t="s">
        <v>1199</v>
      </c>
      <c r="T17" t="s">
        <v>1200</v>
      </c>
      <c r="U17" t="s">
        <v>1201</v>
      </c>
      <c r="V17"/>
      <c r="AA17" t="s">
        <v>1202</v>
      </c>
      <c r="AB17" t="s">
        <v>1203</v>
      </c>
      <c r="AH17" t="s">
        <v>1204</v>
      </c>
      <c r="AI17" t="s">
        <v>1205</v>
      </c>
      <c r="AK17" t="s">
        <v>1206</v>
      </c>
      <c r="AM17"/>
      <c r="AN17" t="s">
        <v>1207</v>
      </c>
      <c r="AX17" t="s">
        <v>1208</v>
      </c>
      <c r="AY17"/>
      <c r="BA17"/>
      <c r="BB17"/>
      <c r="BC17" t="s">
        <v>1192</v>
      </c>
      <c r="BD17"/>
      <c r="BE17" t="s">
        <v>1086</v>
      </c>
      <c r="BG17" s="608" t="s">
        <v>761</v>
      </c>
      <c r="BH17" s="608" t="s">
        <v>1084</v>
      </c>
      <c r="BM17" t="s">
        <v>985</v>
      </c>
      <c r="BN17"/>
      <c r="BO17" t="s">
        <v>1209</v>
      </c>
      <c r="BP17" t="s">
        <v>1210</v>
      </c>
      <c r="BT17" s="608" t="s">
        <v>702</v>
      </c>
      <c r="BU17" s="608" t="s">
        <v>635</v>
      </c>
      <c r="BV17" s="608" t="s">
        <v>640</v>
      </c>
      <c r="BW17" s="608" t="s">
        <v>709</v>
      </c>
      <c r="BX17" s="608">
        <v>1</v>
      </c>
      <c r="BY17" s="608" t="s">
        <v>697</v>
      </c>
      <c r="CJ17" s="608" t="s">
        <v>1458</v>
      </c>
      <c r="CK17" s="608" t="s">
        <v>922</v>
      </c>
      <c r="CM17" s="608" t="s">
        <v>750</v>
      </c>
      <c r="CP17" s="608" t="s">
        <v>1228</v>
      </c>
      <c r="CQ17" s="608" t="s">
        <v>1212</v>
      </c>
      <c r="CR17" s="608" t="s">
        <v>1213</v>
      </c>
      <c r="CZ17" s="608" t="s">
        <v>941</v>
      </c>
    </row>
    <row r="18" spans="3:104" x14ac:dyDescent="0.35">
      <c r="C18" s="608" t="s">
        <v>1214</v>
      </c>
      <c r="D18" s="608" t="s">
        <v>1214</v>
      </c>
      <c r="F18" s="608" t="s">
        <v>652</v>
      </c>
      <c r="G18" s="608" t="s">
        <v>653</v>
      </c>
      <c r="H18" s="608" t="s">
        <v>709</v>
      </c>
      <c r="I18" s="608" t="s">
        <v>1214</v>
      </c>
      <c r="L18" t="s">
        <v>1215</v>
      </c>
      <c r="M18" t="s">
        <v>1216</v>
      </c>
      <c r="N18" t="s">
        <v>1217</v>
      </c>
      <c r="Q18" s="608" t="s">
        <v>1218</v>
      </c>
      <c r="S18" t="s">
        <v>1219</v>
      </c>
      <c r="T18" t="s">
        <v>1220</v>
      </c>
      <c r="U18" t="s">
        <v>1221</v>
      </c>
      <c r="V18"/>
      <c r="AA18" s="46" t="s">
        <v>761</v>
      </c>
      <c r="AB18" t="s">
        <v>1222</v>
      </c>
      <c r="AH18" t="s">
        <v>1223</v>
      </c>
      <c r="AI18" t="s">
        <v>1224</v>
      </c>
      <c r="AK18" t="s">
        <v>1225</v>
      </c>
      <c r="AM18"/>
      <c r="AN18" t="s">
        <v>1226</v>
      </c>
      <c r="AX18" t="s">
        <v>1227</v>
      </c>
      <c r="AY18"/>
      <c r="BA18"/>
      <c r="BB18"/>
      <c r="BC18" t="s">
        <v>1228</v>
      </c>
      <c r="BD18"/>
      <c r="BE18" t="s">
        <v>1119</v>
      </c>
      <c r="BH18" s="608" t="s">
        <v>1229</v>
      </c>
      <c r="BM18" t="s">
        <v>1017</v>
      </c>
      <c r="BN18"/>
      <c r="BO18" t="s">
        <v>1230</v>
      </c>
      <c r="BP18" t="s">
        <v>1231</v>
      </c>
      <c r="BT18" s="608" t="s">
        <v>753</v>
      </c>
      <c r="BU18" s="608" t="s">
        <v>635</v>
      </c>
      <c r="BV18" s="608" t="s">
        <v>640</v>
      </c>
      <c r="BW18" s="608" t="s">
        <v>709</v>
      </c>
      <c r="BX18" s="608">
        <v>1</v>
      </c>
      <c r="BY18" s="608" t="s">
        <v>697</v>
      </c>
      <c r="CJ18" s="608" t="s">
        <v>1460</v>
      </c>
      <c r="CK18" s="608" t="s">
        <v>1482</v>
      </c>
      <c r="CP18" s="608" t="s">
        <v>1248</v>
      </c>
      <c r="CQ18" s="608" t="s">
        <v>1233</v>
      </c>
      <c r="CR18" s="608" t="s">
        <v>1234</v>
      </c>
      <c r="CZ18" s="608" t="s">
        <v>975</v>
      </c>
    </row>
    <row r="19" spans="3:104" x14ac:dyDescent="0.35">
      <c r="C19" s="608" t="s">
        <v>1235</v>
      </c>
      <c r="D19" s="608" t="s">
        <v>1235</v>
      </c>
      <c r="F19" s="608" t="s">
        <v>652</v>
      </c>
      <c r="G19" s="608" t="s">
        <v>653</v>
      </c>
      <c r="H19" s="608" t="s">
        <v>709</v>
      </c>
      <c r="I19" s="608" t="s">
        <v>1235</v>
      </c>
      <c r="L19" t="s">
        <v>1236</v>
      </c>
      <c r="M19" t="s">
        <v>1237</v>
      </c>
      <c r="N19" t="s">
        <v>1238</v>
      </c>
      <c r="Q19" s="608" t="s">
        <v>1239</v>
      </c>
      <c r="S19" t="s">
        <v>1240</v>
      </c>
      <c r="T19" t="s">
        <v>1241</v>
      </c>
      <c r="U19" t="s">
        <v>1242</v>
      </c>
      <c r="V19"/>
      <c r="AB19" t="s">
        <v>1243</v>
      </c>
      <c r="AH19" t="s">
        <v>1244</v>
      </c>
      <c r="AI19" t="s">
        <v>1245</v>
      </c>
      <c r="AK19" t="s">
        <v>1246</v>
      </c>
      <c r="AM19"/>
      <c r="AN19" s="46" t="s">
        <v>761</v>
      </c>
      <c r="AX19" t="s">
        <v>1247</v>
      </c>
      <c r="AY19"/>
      <c r="BA19"/>
      <c r="BB19"/>
      <c r="BC19" t="s">
        <v>1248</v>
      </c>
      <c r="BD19"/>
      <c r="BE19" t="s">
        <v>1249</v>
      </c>
      <c r="BH19" s="608" t="s">
        <v>1250</v>
      </c>
      <c r="BM19" t="s">
        <v>1251</v>
      </c>
      <c r="BN19"/>
      <c r="BO19" t="s">
        <v>1252</v>
      </c>
      <c r="BP19" t="s">
        <v>1253</v>
      </c>
      <c r="BT19" s="608" t="s">
        <v>703</v>
      </c>
      <c r="BU19" s="608" t="s">
        <v>635</v>
      </c>
      <c r="BV19" s="608" t="s">
        <v>641</v>
      </c>
      <c r="BY19" s="608" t="s">
        <v>697</v>
      </c>
      <c r="CJ19" s="608" t="s">
        <v>1462</v>
      </c>
      <c r="CK19" s="608" t="s">
        <v>804</v>
      </c>
      <c r="CP19" s="608" t="s">
        <v>1265</v>
      </c>
      <c r="CQ19" s="608" t="s">
        <v>1255</v>
      </c>
      <c r="CR19" s="608" t="s">
        <v>750</v>
      </c>
      <c r="CZ19" s="608" t="s">
        <v>1010</v>
      </c>
    </row>
    <row r="20" spans="3:104" x14ac:dyDescent="0.35">
      <c r="C20" s="608" t="s">
        <v>710</v>
      </c>
      <c r="D20" s="608" t="s">
        <v>710</v>
      </c>
      <c r="F20" s="608" t="s">
        <v>652</v>
      </c>
      <c r="G20" s="608" t="s">
        <v>654</v>
      </c>
      <c r="H20" s="608" t="s">
        <v>709</v>
      </c>
      <c r="I20" s="608" t="s">
        <v>710</v>
      </c>
      <c r="L20" t="s">
        <v>1147</v>
      </c>
      <c r="M20" t="s">
        <v>1256</v>
      </c>
      <c r="N20" t="s">
        <v>1257</v>
      </c>
      <c r="Q20" s="608" t="s">
        <v>1258</v>
      </c>
      <c r="S20" t="s">
        <v>1259</v>
      </c>
      <c r="T20" t="s">
        <v>660</v>
      </c>
      <c r="U20" t="s">
        <v>1260</v>
      </c>
      <c r="V20"/>
      <c r="AB20" t="s">
        <v>1261</v>
      </c>
      <c r="AH20" t="s">
        <v>1262</v>
      </c>
      <c r="AI20" t="s">
        <v>1263</v>
      </c>
      <c r="AK20" t="s">
        <v>1264</v>
      </c>
      <c r="AM20"/>
      <c r="AN20"/>
      <c r="AX20" t="s">
        <v>798</v>
      </c>
      <c r="AY20"/>
      <c r="BA20"/>
      <c r="BB20"/>
      <c r="BC20" t="s">
        <v>1265</v>
      </c>
      <c r="BD20"/>
      <c r="BE20" t="s">
        <v>1266</v>
      </c>
      <c r="BH20" s="608" t="s">
        <v>1087</v>
      </c>
      <c r="BM20" t="s">
        <v>1143</v>
      </c>
      <c r="BN20"/>
      <c r="BO20" s="46" t="s">
        <v>761</v>
      </c>
      <c r="BP20" t="s">
        <v>1267</v>
      </c>
      <c r="BT20" s="608" t="s">
        <v>740</v>
      </c>
      <c r="BU20" s="608" t="s">
        <v>635</v>
      </c>
      <c r="BV20" s="608" t="s">
        <v>641</v>
      </c>
      <c r="BX20" s="608">
        <v>1</v>
      </c>
      <c r="BY20" s="608" t="s">
        <v>697</v>
      </c>
      <c r="CJ20" s="608" t="s">
        <v>980</v>
      </c>
      <c r="CK20" s="608" t="s">
        <v>750</v>
      </c>
      <c r="CP20" s="608" t="s">
        <v>1281</v>
      </c>
      <c r="CQ20" s="608" t="s">
        <v>1268</v>
      </c>
      <c r="CZ20" s="608" t="s">
        <v>1042</v>
      </c>
    </row>
    <row r="21" spans="3:104" x14ac:dyDescent="0.35">
      <c r="C21" s="608" t="s">
        <v>1269</v>
      </c>
      <c r="D21" s="608" t="s">
        <v>1269</v>
      </c>
      <c r="F21" s="608" t="s">
        <v>652</v>
      </c>
      <c r="G21" s="608" t="s">
        <v>654</v>
      </c>
      <c r="H21" s="608" t="s">
        <v>709</v>
      </c>
      <c r="I21" s="608" t="s">
        <v>1269</v>
      </c>
      <c r="L21" t="s">
        <v>1171</v>
      </c>
      <c r="M21" t="s">
        <v>1270</v>
      </c>
      <c r="N21" t="s">
        <v>1271</v>
      </c>
      <c r="Q21" s="608" t="s">
        <v>1272</v>
      </c>
      <c r="S21" t="s">
        <v>1273</v>
      </c>
      <c r="T21" t="s">
        <v>1274</v>
      </c>
      <c r="U21" t="s">
        <v>1275</v>
      </c>
      <c r="V21"/>
      <c r="AB21" t="s">
        <v>1276</v>
      </c>
      <c r="AH21" t="s">
        <v>1277</v>
      </c>
      <c r="AI21" t="s">
        <v>1278</v>
      </c>
      <c r="AK21" t="s">
        <v>1279</v>
      </c>
      <c r="AX21" t="s">
        <v>1280</v>
      </c>
      <c r="AY21"/>
      <c r="BA21"/>
      <c r="BB21"/>
      <c r="BC21" t="s">
        <v>1281</v>
      </c>
      <c r="BD21"/>
      <c r="BE21" t="s">
        <v>1146</v>
      </c>
      <c r="BH21" s="608" t="s">
        <v>639</v>
      </c>
      <c r="BM21" t="s">
        <v>1167</v>
      </c>
      <c r="BN21"/>
      <c r="BO21"/>
      <c r="BP21" t="s">
        <v>1282</v>
      </c>
      <c r="BT21" s="608" t="s">
        <v>789</v>
      </c>
      <c r="BU21" s="608" t="s">
        <v>635</v>
      </c>
      <c r="BV21" s="608" t="s">
        <v>641</v>
      </c>
      <c r="BX21" s="608">
        <v>1</v>
      </c>
      <c r="BY21" s="608" t="s">
        <v>697</v>
      </c>
      <c r="CJ21" s="608" t="s">
        <v>1464</v>
      </c>
      <c r="CP21" s="608" t="s">
        <v>641</v>
      </c>
      <c r="CQ21" s="608" t="s">
        <v>1283</v>
      </c>
      <c r="CZ21" s="608" t="s">
        <v>1192</v>
      </c>
    </row>
    <row r="22" spans="3:104" x14ac:dyDescent="0.35">
      <c r="C22" s="608" t="s">
        <v>887</v>
      </c>
      <c r="D22" s="608" t="s">
        <v>887</v>
      </c>
      <c r="F22" s="608" t="s">
        <v>652</v>
      </c>
      <c r="G22" s="608" t="s">
        <v>654</v>
      </c>
      <c r="H22" s="608" t="s">
        <v>709</v>
      </c>
      <c r="I22" s="608" t="s">
        <v>887</v>
      </c>
      <c r="L22" t="s">
        <v>1284</v>
      </c>
      <c r="M22" t="s">
        <v>1285</v>
      </c>
      <c r="N22" t="s">
        <v>1286</v>
      </c>
      <c r="Q22" s="608" t="s">
        <v>1287</v>
      </c>
      <c r="S22" t="s">
        <v>1288</v>
      </c>
      <c r="T22" t="s">
        <v>1289</v>
      </c>
      <c r="U22" t="s">
        <v>1290</v>
      </c>
      <c r="V22"/>
      <c r="AB22" t="s">
        <v>1291</v>
      </c>
      <c r="AH22" t="s">
        <v>1292</v>
      </c>
      <c r="AI22" t="s">
        <v>1293</v>
      </c>
      <c r="AK22" t="s">
        <v>1294</v>
      </c>
      <c r="AX22" t="s">
        <v>1295</v>
      </c>
      <c r="AY22"/>
      <c r="BA22"/>
      <c r="BB22"/>
      <c r="BC22" t="s">
        <v>641</v>
      </c>
      <c r="BD22"/>
      <c r="BE22" t="s">
        <v>1170</v>
      </c>
      <c r="BH22" s="608" t="s">
        <v>1296</v>
      </c>
      <c r="BM22" t="s">
        <v>1297</v>
      </c>
      <c r="BN22"/>
      <c r="BO22"/>
      <c r="BP22" t="s">
        <v>1298</v>
      </c>
      <c r="BT22" s="608" t="s">
        <v>832</v>
      </c>
      <c r="BU22" s="608" t="s">
        <v>635</v>
      </c>
      <c r="BV22" s="608" t="s">
        <v>641</v>
      </c>
      <c r="BX22" s="608">
        <v>1</v>
      </c>
      <c r="BY22" s="608" t="s">
        <v>697</v>
      </c>
      <c r="CJ22" s="608" t="s">
        <v>1465</v>
      </c>
      <c r="CP22" s="608" t="s">
        <v>1312</v>
      </c>
      <c r="CQ22" s="608" t="s">
        <v>1299</v>
      </c>
      <c r="CZ22" s="608" t="s">
        <v>1248</v>
      </c>
    </row>
    <row r="23" spans="3:104" x14ac:dyDescent="0.35">
      <c r="C23" s="608" t="s">
        <v>924</v>
      </c>
      <c r="D23" s="608" t="s">
        <v>924</v>
      </c>
      <c r="F23" s="608" t="s">
        <v>652</v>
      </c>
      <c r="G23" s="608" t="s">
        <v>654</v>
      </c>
      <c r="H23" s="608" t="s">
        <v>709</v>
      </c>
      <c r="I23" s="608" t="s">
        <v>924</v>
      </c>
      <c r="L23" t="s">
        <v>1300</v>
      </c>
      <c r="M23" t="s">
        <v>1301</v>
      </c>
      <c r="N23" t="s">
        <v>1302</v>
      </c>
      <c r="Q23" s="608" t="s">
        <v>1303</v>
      </c>
      <c r="S23" t="s">
        <v>1304</v>
      </c>
      <c r="T23" t="s">
        <v>1305</v>
      </c>
      <c r="U23" t="s">
        <v>1306</v>
      </c>
      <c r="V23"/>
      <c r="AB23" t="s">
        <v>1307</v>
      </c>
      <c r="AH23" t="s">
        <v>1308</v>
      </c>
      <c r="AI23" t="s">
        <v>1309</v>
      </c>
      <c r="AK23" t="s">
        <v>1310</v>
      </c>
      <c r="AX23" t="s">
        <v>1311</v>
      </c>
      <c r="AY23"/>
      <c r="BA23"/>
      <c r="BB23"/>
      <c r="BC23" t="s">
        <v>1312</v>
      </c>
      <c r="BD23"/>
      <c r="BE23" t="s">
        <v>1313</v>
      </c>
      <c r="BH23" s="608" t="s">
        <v>1314</v>
      </c>
      <c r="BM23" t="s">
        <v>1315</v>
      </c>
      <c r="BN23"/>
      <c r="BO23"/>
      <c r="BP23" t="s">
        <v>1316</v>
      </c>
      <c r="BT23" s="608" t="s">
        <v>872</v>
      </c>
      <c r="BU23" s="608" t="s">
        <v>635</v>
      </c>
      <c r="BV23" s="608" t="s">
        <v>641</v>
      </c>
      <c r="BX23" s="608">
        <v>1</v>
      </c>
      <c r="BY23" s="608" t="s">
        <v>697</v>
      </c>
      <c r="CJ23" s="608" t="s">
        <v>637</v>
      </c>
      <c r="CP23" s="608" t="s">
        <v>1327</v>
      </c>
      <c r="CQ23" s="608" t="s">
        <v>1317</v>
      </c>
      <c r="CZ23" s="608" t="s">
        <v>1265</v>
      </c>
    </row>
    <row r="24" spans="3:104" x14ac:dyDescent="0.35">
      <c r="C24" s="608" t="s">
        <v>991</v>
      </c>
      <c r="D24" s="608" t="s">
        <v>991</v>
      </c>
      <c r="F24" s="608" t="s">
        <v>652</v>
      </c>
      <c r="G24" s="608" t="s">
        <v>654</v>
      </c>
      <c r="H24" s="608" t="s">
        <v>709</v>
      </c>
      <c r="I24" s="608" t="s">
        <v>991</v>
      </c>
      <c r="L24" t="s">
        <v>1318</v>
      </c>
      <c r="M24" t="s">
        <v>1319</v>
      </c>
      <c r="N24" t="s">
        <v>1320</v>
      </c>
      <c r="Q24" t="s">
        <v>1321</v>
      </c>
      <c r="S24" s="46" t="s">
        <v>761</v>
      </c>
      <c r="T24" t="s">
        <v>1322</v>
      </c>
      <c r="U24" t="s">
        <v>1323</v>
      </c>
      <c r="AB24" t="s">
        <v>1324</v>
      </c>
      <c r="AH24" t="s">
        <v>1325</v>
      </c>
      <c r="AI24" s="46" t="s">
        <v>761</v>
      </c>
      <c r="AK24" t="s">
        <v>1326</v>
      </c>
      <c r="AX24" t="s">
        <v>842</v>
      </c>
      <c r="BA24"/>
      <c r="BB24"/>
      <c r="BC24" t="s">
        <v>1327</v>
      </c>
      <c r="BD24"/>
      <c r="BE24" t="s">
        <v>1328</v>
      </c>
      <c r="BH24" s="608" t="s">
        <v>1329</v>
      </c>
      <c r="BM24" s="46" t="s">
        <v>761</v>
      </c>
      <c r="BN24"/>
      <c r="BO24"/>
      <c r="BP24" t="s">
        <v>1330</v>
      </c>
      <c r="BT24" s="608" t="s">
        <v>909</v>
      </c>
      <c r="BU24" s="608" t="s">
        <v>635</v>
      </c>
      <c r="BV24" s="608" t="s">
        <v>641</v>
      </c>
      <c r="BX24" s="608">
        <v>1</v>
      </c>
      <c r="BY24" s="608" t="s">
        <v>697</v>
      </c>
      <c r="CJ24" s="608" t="s">
        <v>1467</v>
      </c>
      <c r="CP24" s="608" t="s">
        <v>1331</v>
      </c>
      <c r="CQ24" s="608" t="s">
        <v>750</v>
      </c>
      <c r="CZ24" s="608" t="s">
        <v>1331</v>
      </c>
    </row>
    <row r="25" spans="3:104" x14ac:dyDescent="0.35">
      <c r="C25" s="608" t="s">
        <v>1149</v>
      </c>
      <c r="D25" s="608" t="s">
        <v>1149</v>
      </c>
      <c r="F25" s="608" t="s">
        <v>652</v>
      </c>
      <c r="G25" s="608" t="s">
        <v>654</v>
      </c>
      <c r="H25" s="608" t="s">
        <v>709</v>
      </c>
      <c r="I25" s="608" t="s">
        <v>1149</v>
      </c>
      <c r="L25" s="46" t="s">
        <v>761</v>
      </c>
      <c r="M25" t="s">
        <v>1332</v>
      </c>
      <c r="N25" t="s">
        <v>1333</v>
      </c>
      <c r="Q25" t="s">
        <v>1334</v>
      </c>
      <c r="T25" t="s">
        <v>1335</v>
      </c>
      <c r="U25" t="s">
        <v>1336</v>
      </c>
      <c r="AB25" t="s">
        <v>1337</v>
      </c>
      <c r="AH25" t="s">
        <v>1338</v>
      </c>
      <c r="AK25" t="s">
        <v>1339</v>
      </c>
      <c r="AX25" t="s">
        <v>1340</v>
      </c>
      <c r="BA25"/>
      <c r="BB25"/>
      <c r="BC25" t="s">
        <v>1331</v>
      </c>
      <c r="BD25"/>
      <c r="BE25" t="s">
        <v>1341</v>
      </c>
      <c r="BH25" s="608" t="s">
        <v>1342</v>
      </c>
      <c r="BM25"/>
      <c r="BN25"/>
      <c r="BO25"/>
      <c r="BP25" t="s">
        <v>1343</v>
      </c>
      <c r="BT25" s="608" t="s">
        <v>941</v>
      </c>
      <c r="BU25" s="608" t="s">
        <v>635</v>
      </c>
      <c r="BV25" s="608" t="s">
        <v>641</v>
      </c>
      <c r="BX25" s="608">
        <v>1</v>
      </c>
      <c r="BY25" s="608" t="s">
        <v>697</v>
      </c>
      <c r="CJ25" s="608" t="s">
        <v>885</v>
      </c>
      <c r="CP25" s="608" t="s">
        <v>1354</v>
      </c>
      <c r="CZ25" s="608" t="s">
        <v>1344</v>
      </c>
    </row>
    <row r="26" spans="3:104" x14ac:dyDescent="0.35">
      <c r="C26" s="608" t="s">
        <v>1173</v>
      </c>
      <c r="D26" s="608" t="s">
        <v>1173</v>
      </c>
      <c r="F26" s="608" t="s">
        <v>652</v>
      </c>
      <c r="G26" s="608" t="s">
        <v>654</v>
      </c>
      <c r="H26" s="608" t="s">
        <v>709</v>
      </c>
      <c r="I26" s="608" t="s">
        <v>1173</v>
      </c>
      <c r="M26" t="s">
        <v>1345</v>
      </c>
      <c r="N26" t="s">
        <v>1346</v>
      </c>
      <c r="Q26" s="46" t="s">
        <v>761</v>
      </c>
      <c r="T26" t="s">
        <v>1347</v>
      </c>
      <c r="U26" t="s">
        <v>1348</v>
      </c>
      <c r="AB26" t="s">
        <v>1349</v>
      </c>
      <c r="AH26" s="46" t="s">
        <v>761</v>
      </c>
      <c r="AK26" s="46" t="s">
        <v>761</v>
      </c>
      <c r="AX26" t="s">
        <v>1350</v>
      </c>
      <c r="BA26"/>
      <c r="BB26"/>
      <c r="BC26" t="s">
        <v>1351</v>
      </c>
      <c r="BD26"/>
      <c r="BE26" t="s">
        <v>1352</v>
      </c>
      <c r="BH26" s="608" t="s">
        <v>761</v>
      </c>
      <c r="BM26"/>
      <c r="BN26"/>
      <c r="BO26"/>
      <c r="BP26" t="s">
        <v>1353</v>
      </c>
      <c r="BT26" s="608" t="s">
        <v>975</v>
      </c>
      <c r="BU26" s="608" t="s">
        <v>635</v>
      </c>
      <c r="BV26" s="608" t="s">
        <v>641</v>
      </c>
      <c r="BX26" s="608">
        <v>1</v>
      </c>
      <c r="BY26" s="608" t="s">
        <v>697</v>
      </c>
      <c r="CJ26" s="608" t="s">
        <v>699</v>
      </c>
      <c r="CP26" s="608" t="s">
        <v>1344</v>
      </c>
      <c r="CZ26" s="608" t="s">
        <v>1355</v>
      </c>
    </row>
    <row r="27" spans="3:104" x14ac:dyDescent="0.35">
      <c r="C27" s="608" t="s">
        <v>1356</v>
      </c>
      <c r="D27" s="608" t="s">
        <v>1356</v>
      </c>
      <c r="F27" s="608" t="s">
        <v>652</v>
      </c>
      <c r="G27" s="608" t="s">
        <v>1357</v>
      </c>
      <c r="H27" s="608" t="s">
        <v>709</v>
      </c>
      <c r="I27" s="608" t="s">
        <v>1356</v>
      </c>
      <c r="M27" t="s">
        <v>1358</v>
      </c>
      <c r="N27" t="s">
        <v>1359</v>
      </c>
      <c r="T27" t="s">
        <v>1360</v>
      </c>
      <c r="U27" s="46" t="s">
        <v>761</v>
      </c>
      <c r="AB27" t="s">
        <v>1361</v>
      </c>
      <c r="AX27" t="s">
        <v>1362</v>
      </c>
      <c r="BA27"/>
      <c r="BB27"/>
      <c r="BC27" t="s">
        <v>1363</v>
      </c>
      <c r="BD27"/>
      <c r="BE27" t="s">
        <v>1194</v>
      </c>
      <c r="BM27"/>
      <c r="BN27"/>
      <c r="BO27"/>
      <c r="BP27" t="s">
        <v>1364</v>
      </c>
      <c r="BT27" s="608" t="s">
        <v>1010</v>
      </c>
      <c r="BU27" s="608" t="s">
        <v>635</v>
      </c>
      <c r="BV27" s="608" t="s">
        <v>641</v>
      </c>
      <c r="BX27" s="608">
        <v>1</v>
      </c>
      <c r="BY27" s="608" t="s">
        <v>697</v>
      </c>
      <c r="CJ27" s="608" t="s">
        <v>751</v>
      </c>
      <c r="CP27" s="608" t="s">
        <v>1372</v>
      </c>
      <c r="CZ27" s="608" t="s">
        <v>1365</v>
      </c>
    </row>
    <row r="28" spans="3:104" x14ac:dyDescent="0.35">
      <c r="C28" s="608" t="s">
        <v>1366</v>
      </c>
      <c r="D28" s="608" t="s">
        <v>1366</v>
      </c>
      <c r="F28" s="608" t="s">
        <v>652</v>
      </c>
      <c r="G28" s="608" t="s">
        <v>1357</v>
      </c>
      <c r="H28" s="608" t="s">
        <v>709</v>
      </c>
      <c r="I28" s="608" t="s">
        <v>1366</v>
      </c>
      <c r="M28" t="s">
        <v>1367</v>
      </c>
      <c r="N28" t="s">
        <v>1368</v>
      </c>
      <c r="T28" t="s">
        <v>1369</v>
      </c>
      <c r="AB28" s="46" t="s">
        <v>761</v>
      </c>
      <c r="AX28" t="s">
        <v>880</v>
      </c>
      <c r="BA28"/>
      <c r="BB28"/>
      <c r="BC28" t="s">
        <v>1354</v>
      </c>
      <c r="BD28"/>
      <c r="BE28" t="s">
        <v>1370</v>
      </c>
      <c r="BM28"/>
      <c r="BN28"/>
      <c r="BO28"/>
      <c r="BP28" t="s">
        <v>1371</v>
      </c>
      <c r="BT28" s="608" t="s">
        <v>1042</v>
      </c>
      <c r="BU28" s="608" t="s">
        <v>635</v>
      </c>
      <c r="BV28" s="608" t="s">
        <v>641</v>
      </c>
      <c r="BX28" s="608">
        <v>1</v>
      </c>
      <c r="BY28" s="608" t="s">
        <v>697</v>
      </c>
      <c r="CJ28" s="608" t="s">
        <v>799</v>
      </c>
      <c r="CP28" s="608" t="s">
        <v>1377</v>
      </c>
      <c r="CZ28" s="608" t="s">
        <v>1373</v>
      </c>
    </row>
    <row r="29" spans="3:104" x14ac:dyDescent="0.35">
      <c r="C29" s="608" t="s">
        <v>1374</v>
      </c>
      <c r="D29" s="608" t="s">
        <v>1374</v>
      </c>
      <c r="F29" s="608" t="s">
        <v>652</v>
      </c>
      <c r="G29" s="608" t="s">
        <v>1357</v>
      </c>
      <c r="H29" s="608" t="s">
        <v>709</v>
      </c>
      <c r="I29" s="608" t="s">
        <v>1374</v>
      </c>
      <c r="M29" t="s">
        <v>1375</v>
      </c>
      <c r="N29" t="s">
        <v>655</v>
      </c>
      <c r="T29" s="46" t="s">
        <v>761</v>
      </c>
      <c r="AX29" t="s">
        <v>917</v>
      </c>
      <c r="BA29"/>
      <c r="BB29"/>
      <c r="BC29" t="s">
        <v>1344</v>
      </c>
      <c r="BD29"/>
      <c r="BE29" t="s">
        <v>1213</v>
      </c>
      <c r="BM29"/>
      <c r="BN29"/>
      <c r="BO29"/>
      <c r="BP29" t="s">
        <v>1376</v>
      </c>
      <c r="BT29" s="608" t="s">
        <v>1074</v>
      </c>
      <c r="BU29" s="608" t="s">
        <v>635</v>
      </c>
      <c r="BV29" s="608" t="s">
        <v>641</v>
      </c>
      <c r="BX29" s="608">
        <v>1</v>
      </c>
      <c r="BY29" s="608" t="s">
        <v>697</v>
      </c>
      <c r="CJ29" s="608" t="s">
        <v>843</v>
      </c>
      <c r="CP29" s="608" t="s">
        <v>1355</v>
      </c>
      <c r="CZ29" s="608" t="s">
        <v>1378</v>
      </c>
    </row>
    <row r="30" spans="3:104" x14ac:dyDescent="0.35">
      <c r="C30" s="608" t="s">
        <v>1379</v>
      </c>
      <c r="D30" s="608" t="s">
        <v>1379</v>
      </c>
      <c r="F30" s="608" t="s">
        <v>652</v>
      </c>
      <c r="G30" s="608" t="s">
        <v>1357</v>
      </c>
      <c r="H30" s="608" t="s">
        <v>709</v>
      </c>
      <c r="I30" s="608" t="s">
        <v>1379</v>
      </c>
      <c r="M30" t="s">
        <v>1380</v>
      </c>
      <c r="N30" t="s">
        <v>1381</v>
      </c>
      <c r="AX30" t="s">
        <v>949</v>
      </c>
      <c r="BA30"/>
      <c r="BB30"/>
      <c r="BC30" t="s">
        <v>1372</v>
      </c>
      <c r="BD30"/>
      <c r="BE30" t="s">
        <v>1234</v>
      </c>
      <c r="BM30"/>
      <c r="BN30"/>
      <c r="BO30"/>
      <c r="BP30" t="s">
        <v>1382</v>
      </c>
      <c r="BT30" s="608" t="s">
        <v>1117</v>
      </c>
      <c r="BU30" s="608" t="s">
        <v>635</v>
      </c>
      <c r="BV30" s="608" t="s">
        <v>641</v>
      </c>
      <c r="BX30" s="608">
        <v>1</v>
      </c>
      <c r="BY30" s="608" t="s">
        <v>697</v>
      </c>
      <c r="CJ30" s="608" t="s">
        <v>881</v>
      </c>
      <c r="CP30" s="608" t="s">
        <v>1365</v>
      </c>
      <c r="CZ30" s="608" t="s">
        <v>1383</v>
      </c>
    </row>
    <row r="31" spans="3:104" x14ac:dyDescent="0.35">
      <c r="C31" s="608" t="s">
        <v>1384</v>
      </c>
      <c r="D31" s="608" t="s">
        <v>1384</v>
      </c>
      <c r="F31" s="608" t="s">
        <v>652</v>
      </c>
      <c r="G31" s="608" t="s">
        <v>1357</v>
      </c>
      <c r="H31" s="608" t="s">
        <v>709</v>
      </c>
      <c r="I31" s="608" t="s">
        <v>1384</v>
      </c>
      <c r="M31" t="s">
        <v>1385</v>
      </c>
      <c r="N31" t="s">
        <v>1386</v>
      </c>
      <c r="AX31" t="s">
        <v>984</v>
      </c>
      <c r="BA31"/>
      <c r="BB31"/>
      <c r="BC31" t="s">
        <v>1377</v>
      </c>
      <c r="BD31"/>
      <c r="BE31" t="s">
        <v>1387</v>
      </c>
      <c r="BM31"/>
      <c r="BN31"/>
      <c r="BO31"/>
      <c r="BP31" t="s">
        <v>1388</v>
      </c>
      <c r="BT31" s="608" t="s">
        <v>1144</v>
      </c>
      <c r="BU31" s="608" t="s">
        <v>635</v>
      </c>
      <c r="BV31" s="608" t="s">
        <v>641</v>
      </c>
      <c r="BX31" s="608">
        <v>1</v>
      </c>
      <c r="BY31" s="608" t="s">
        <v>697</v>
      </c>
      <c r="CJ31" s="608" t="s">
        <v>918</v>
      </c>
      <c r="CP31" s="608" t="s">
        <v>1393</v>
      </c>
      <c r="CZ31" s="608" t="s">
        <v>1389</v>
      </c>
    </row>
    <row r="32" spans="3:104" x14ac:dyDescent="0.35">
      <c r="C32" s="608" t="s">
        <v>1390</v>
      </c>
      <c r="D32" s="608" t="s">
        <v>1390</v>
      </c>
      <c r="F32" s="608" t="s">
        <v>652</v>
      </c>
      <c r="G32" s="608" t="s">
        <v>1357</v>
      </c>
      <c r="H32" s="608" t="s">
        <v>709</v>
      </c>
      <c r="I32" s="608" t="s">
        <v>1390</v>
      </c>
      <c r="M32" s="46" t="s">
        <v>761</v>
      </c>
      <c r="N32" s="46" t="s">
        <v>761</v>
      </c>
      <c r="AD32" s="612"/>
      <c r="AE32"/>
      <c r="AF32"/>
      <c r="AG32"/>
      <c r="AH32"/>
      <c r="AI32"/>
      <c r="AJ32"/>
      <c r="AX32" t="s">
        <v>1016</v>
      </c>
      <c r="BA32"/>
      <c r="BB32"/>
      <c r="BC32" t="s">
        <v>1355</v>
      </c>
      <c r="BD32"/>
      <c r="BE32" s="46" t="s">
        <v>761</v>
      </c>
      <c r="BM32"/>
      <c r="BN32"/>
      <c r="BO32"/>
      <c r="BP32" s="46" t="s">
        <v>761</v>
      </c>
      <c r="BT32" s="608" t="s">
        <v>1168</v>
      </c>
      <c r="BU32" s="608" t="s">
        <v>635</v>
      </c>
      <c r="BV32" s="608" t="s">
        <v>641</v>
      </c>
      <c r="BX32" s="608">
        <v>1</v>
      </c>
      <c r="BY32" s="608" t="s">
        <v>697</v>
      </c>
      <c r="CJ32" s="608" t="s">
        <v>950</v>
      </c>
      <c r="CP32" s="608" t="s">
        <v>1397</v>
      </c>
      <c r="CZ32" s="608" t="s">
        <v>1391</v>
      </c>
    </row>
    <row r="33" spans="3:104" x14ac:dyDescent="0.35">
      <c r="C33" s="608" t="s">
        <v>1392</v>
      </c>
      <c r="D33" s="608" t="s">
        <v>1392</v>
      </c>
      <c r="F33" s="608" t="s">
        <v>652</v>
      </c>
      <c r="G33" s="608" t="s">
        <v>1357</v>
      </c>
      <c r="H33" s="608" t="s">
        <v>709</v>
      </c>
      <c r="I33" s="608" t="s">
        <v>1392</v>
      </c>
      <c r="AD33"/>
      <c r="AI33"/>
      <c r="AJ33"/>
      <c r="AX33" t="s">
        <v>1050</v>
      </c>
      <c r="BA33"/>
      <c r="BB33"/>
      <c r="BC33" t="s">
        <v>1365</v>
      </c>
      <c r="BD33"/>
      <c r="BE33"/>
      <c r="BT33" s="608" t="s">
        <v>1192</v>
      </c>
      <c r="BU33" s="608" t="s">
        <v>635</v>
      </c>
      <c r="BV33" s="608" t="s">
        <v>641</v>
      </c>
      <c r="BX33" s="608">
        <v>1</v>
      </c>
      <c r="BY33" s="608" t="s">
        <v>697</v>
      </c>
      <c r="CJ33" s="608" t="s">
        <v>985</v>
      </c>
      <c r="CP33" s="608" t="s">
        <v>1401</v>
      </c>
      <c r="CZ33" s="608" t="s">
        <v>1394</v>
      </c>
    </row>
    <row r="34" spans="3:104" x14ac:dyDescent="0.35">
      <c r="C34" s="608" t="s">
        <v>1395</v>
      </c>
      <c r="D34" s="608" t="s">
        <v>1395</v>
      </c>
      <c r="F34" s="608" t="s">
        <v>652</v>
      </c>
      <c r="G34" s="608" t="s">
        <v>1357</v>
      </c>
      <c r="H34" s="608" t="s">
        <v>709</v>
      </c>
      <c r="I34" s="608" t="s">
        <v>1395</v>
      </c>
      <c r="AD34"/>
      <c r="AI34"/>
      <c r="AJ34"/>
      <c r="AX34" t="s">
        <v>1396</v>
      </c>
      <c r="BA34"/>
      <c r="BB34"/>
      <c r="BC34" t="s">
        <v>1393</v>
      </c>
      <c r="BD34"/>
      <c r="BE34"/>
      <c r="BT34" s="608" t="s">
        <v>1228</v>
      </c>
      <c r="BU34" s="608" t="s">
        <v>635</v>
      </c>
      <c r="BV34" s="608" t="s">
        <v>641</v>
      </c>
      <c r="BX34" s="608">
        <v>1</v>
      </c>
      <c r="BY34" s="608" t="s">
        <v>697</v>
      </c>
      <c r="CJ34" s="608" t="s">
        <v>1017</v>
      </c>
      <c r="CP34" s="608" t="s">
        <v>1373</v>
      </c>
      <c r="CZ34" s="608" t="s">
        <v>1398</v>
      </c>
    </row>
    <row r="35" spans="3:104" x14ac:dyDescent="0.35">
      <c r="C35" s="608" t="s">
        <v>1399</v>
      </c>
      <c r="D35" s="608" t="s">
        <v>1399</v>
      </c>
      <c r="F35" s="608" t="s">
        <v>652</v>
      </c>
      <c r="G35" s="608" t="s">
        <v>1357</v>
      </c>
      <c r="H35" s="608" t="s">
        <v>709</v>
      </c>
      <c r="I35" s="608" t="s">
        <v>1399</v>
      </c>
      <c r="AD35"/>
      <c r="AI35"/>
      <c r="AJ35"/>
      <c r="AX35" t="s">
        <v>1400</v>
      </c>
      <c r="BA35"/>
      <c r="BB35"/>
      <c r="BC35" t="s">
        <v>1397</v>
      </c>
      <c r="BD35"/>
      <c r="BE35"/>
      <c r="BG35" s="612"/>
      <c r="BH35"/>
      <c r="BI35"/>
      <c r="BK35"/>
      <c r="BT35" s="608" t="s">
        <v>1248</v>
      </c>
      <c r="BU35" s="608" t="s">
        <v>635</v>
      </c>
      <c r="BV35" s="608" t="s">
        <v>641</v>
      </c>
      <c r="BX35" s="608">
        <v>1</v>
      </c>
      <c r="BY35" s="608" t="s">
        <v>697</v>
      </c>
      <c r="CJ35" s="608" t="s">
        <v>1051</v>
      </c>
      <c r="CP35" s="608" t="s">
        <v>1378</v>
      </c>
      <c r="CZ35" s="608" t="s">
        <v>1402</v>
      </c>
    </row>
    <row r="36" spans="3:104" x14ac:dyDescent="0.35">
      <c r="C36" s="608" t="s">
        <v>1403</v>
      </c>
      <c r="D36" s="608" t="s">
        <v>1403</v>
      </c>
      <c r="F36" s="608" t="s">
        <v>652</v>
      </c>
      <c r="G36" s="608" t="s">
        <v>1357</v>
      </c>
      <c r="H36" s="608" t="s">
        <v>709</v>
      </c>
      <c r="I36" s="608" t="s">
        <v>1403</v>
      </c>
      <c r="AD36"/>
      <c r="AI36"/>
      <c r="AJ36"/>
      <c r="AL36" s="612"/>
      <c r="AO36" s="612"/>
      <c r="AP36"/>
      <c r="AR36"/>
      <c r="AS36"/>
      <c r="AT36"/>
      <c r="AU36"/>
      <c r="AV36"/>
      <c r="AX36" t="s">
        <v>1082</v>
      </c>
      <c r="BA36"/>
      <c r="BB36"/>
      <c r="BC36" t="s">
        <v>1404</v>
      </c>
      <c r="BD36"/>
      <c r="BE36"/>
      <c r="BG36"/>
      <c r="BH36"/>
      <c r="BI36"/>
      <c r="BK36"/>
      <c r="BT36" s="608" t="s">
        <v>1265</v>
      </c>
      <c r="BU36" s="608" t="s">
        <v>635</v>
      </c>
      <c r="BV36" s="608" t="s">
        <v>641</v>
      </c>
      <c r="BX36" s="608">
        <v>1</v>
      </c>
      <c r="BY36" s="608" t="s">
        <v>697</v>
      </c>
      <c r="CJ36" s="608" t="s">
        <v>1083</v>
      </c>
      <c r="CP36" s="608" t="s">
        <v>1408</v>
      </c>
      <c r="CZ36" s="608" t="s">
        <v>705</v>
      </c>
    </row>
    <row r="37" spans="3:104" x14ac:dyDescent="0.35">
      <c r="C37" s="608" t="s">
        <v>712</v>
      </c>
      <c r="D37" s="608" t="s">
        <v>712</v>
      </c>
      <c r="F37" s="608" t="s">
        <v>1405</v>
      </c>
      <c r="G37" s="608" t="s">
        <v>1406</v>
      </c>
      <c r="H37" s="608" t="s">
        <v>709</v>
      </c>
      <c r="I37" s="608" t="s">
        <v>712</v>
      </c>
      <c r="K37" s="1235"/>
      <c r="N37"/>
      <c r="O37"/>
      <c r="P37" s="1235"/>
      <c r="Q37"/>
      <c r="R37" s="612"/>
      <c r="S37"/>
      <c r="T37"/>
      <c r="U37"/>
      <c r="V37"/>
      <c r="W37"/>
      <c r="X37"/>
      <c r="AA37" s="1235"/>
      <c r="AB37" s="1235"/>
      <c r="AD37" s="46"/>
      <c r="AI37"/>
      <c r="AJ37"/>
      <c r="AL37"/>
      <c r="AP37"/>
      <c r="AR37"/>
      <c r="AS37"/>
      <c r="AT37"/>
      <c r="AU37"/>
      <c r="AV37"/>
      <c r="AX37" s="46" t="s">
        <v>761</v>
      </c>
      <c r="BA37"/>
      <c r="BB37"/>
      <c r="BC37" t="s">
        <v>1401</v>
      </c>
      <c r="BD37"/>
      <c r="BE37"/>
      <c r="BG37"/>
      <c r="BH37"/>
      <c r="BI37"/>
      <c r="BK37"/>
      <c r="BN37" s="1234"/>
      <c r="BT37" s="608" t="s">
        <v>1281</v>
      </c>
      <c r="BU37" s="608" t="s">
        <v>635</v>
      </c>
      <c r="BV37" s="608" t="s">
        <v>641</v>
      </c>
      <c r="BX37" s="608">
        <v>1</v>
      </c>
      <c r="BY37" s="608" t="s">
        <v>697</v>
      </c>
      <c r="BZ37" s="612"/>
      <c r="CJ37" s="608" t="s">
        <v>1115</v>
      </c>
      <c r="CP37" s="608" t="s">
        <v>1383</v>
      </c>
      <c r="CZ37" s="608" t="s">
        <v>988</v>
      </c>
    </row>
    <row r="38" spans="3:104" x14ac:dyDescent="0.35">
      <c r="C38" s="608" t="s">
        <v>1407</v>
      </c>
      <c r="D38" s="608" t="s">
        <v>1407</v>
      </c>
      <c r="F38" s="608" t="s">
        <v>1405</v>
      </c>
      <c r="G38" s="608" t="s">
        <v>1406</v>
      </c>
      <c r="H38" s="608" t="s">
        <v>709</v>
      </c>
      <c r="I38" s="608" t="s">
        <v>1407</v>
      </c>
      <c r="K38"/>
      <c r="O38"/>
      <c r="P38"/>
      <c r="Q38"/>
      <c r="R38"/>
      <c r="W38"/>
      <c r="X38"/>
      <c r="AA38"/>
      <c r="AB38"/>
      <c r="AD38"/>
      <c r="AI38" s="46"/>
      <c r="AJ38" s="46"/>
      <c r="AL38"/>
      <c r="AR38"/>
      <c r="AS38"/>
      <c r="AT38"/>
      <c r="AU38"/>
      <c r="AV38"/>
      <c r="BA38"/>
      <c r="BB38"/>
      <c r="BC38" t="s">
        <v>1373</v>
      </c>
      <c r="BD38"/>
      <c r="BE38"/>
      <c r="BG38"/>
      <c r="BH38"/>
      <c r="BI38"/>
      <c r="BK38"/>
      <c r="BT38" s="608" t="s">
        <v>641</v>
      </c>
      <c r="BU38" s="608" t="s">
        <v>635</v>
      </c>
      <c r="BV38" s="608" t="s">
        <v>641</v>
      </c>
      <c r="BX38" s="608">
        <v>1</v>
      </c>
      <c r="BY38" s="608" t="s">
        <v>697</v>
      </c>
      <c r="BZ38"/>
      <c r="CJ38" s="608" t="s">
        <v>1143</v>
      </c>
      <c r="CP38" s="608" t="s">
        <v>1409</v>
      </c>
      <c r="CZ38" s="608" t="s">
        <v>704</v>
      </c>
    </row>
    <row r="39" spans="3:104" x14ac:dyDescent="0.35">
      <c r="C39" s="608" t="s">
        <v>762</v>
      </c>
      <c r="D39" s="608" t="s">
        <v>762</v>
      </c>
      <c r="F39" s="608" t="s">
        <v>1405</v>
      </c>
      <c r="G39" s="608" t="s">
        <v>1406</v>
      </c>
      <c r="H39" s="608" t="s">
        <v>709</v>
      </c>
      <c r="I39" s="608" t="s">
        <v>762</v>
      </c>
      <c r="K39"/>
      <c r="O39"/>
      <c r="P39"/>
      <c r="Q39"/>
      <c r="R39"/>
      <c r="W39"/>
      <c r="X39"/>
      <c r="AA39"/>
      <c r="AB39"/>
      <c r="AD39"/>
      <c r="AH39"/>
      <c r="AI39"/>
      <c r="AJ39"/>
      <c r="AL39" s="46"/>
      <c r="AR39"/>
      <c r="AS39"/>
      <c r="AT39"/>
      <c r="AU39"/>
      <c r="AV39"/>
      <c r="BA39"/>
      <c r="BB39"/>
      <c r="BC39" t="s">
        <v>1378</v>
      </c>
      <c r="BD39"/>
      <c r="BE39"/>
      <c r="BG39"/>
      <c r="BH39"/>
      <c r="BI39"/>
      <c r="BK39"/>
      <c r="BT39" s="608" t="s">
        <v>1312</v>
      </c>
      <c r="BU39" s="608" t="s">
        <v>635</v>
      </c>
      <c r="BV39" s="608" t="s">
        <v>641</v>
      </c>
      <c r="BX39" s="608">
        <v>1</v>
      </c>
      <c r="BY39" s="608" t="s">
        <v>697</v>
      </c>
      <c r="BZ39"/>
      <c r="CJ39" s="608" t="s">
        <v>1167</v>
      </c>
      <c r="CP39" s="608" t="s">
        <v>1389</v>
      </c>
      <c r="CZ39" s="608" t="s">
        <v>801</v>
      </c>
    </row>
    <row r="40" spans="3:104" x14ac:dyDescent="0.35">
      <c r="C40" s="608" t="s">
        <v>852</v>
      </c>
      <c r="D40" s="608" t="s">
        <v>852</v>
      </c>
      <c r="F40" s="608" t="s">
        <v>1405</v>
      </c>
      <c r="G40" s="608" t="s">
        <v>1406</v>
      </c>
      <c r="H40" s="608" t="s">
        <v>709</v>
      </c>
      <c r="I40" s="608" t="s">
        <v>852</v>
      </c>
      <c r="K40"/>
      <c r="O40"/>
      <c r="P40"/>
      <c r="Q40"/>
      <c r="R40"/>
      <c r="W40"/>
      <c r="X40"/>
      <c r="AA40"/>
      <c r="AB40"/>
      <c r="AD40"/>
      <c r="AH40"/>
      <c r="AI40"/>
      <c r="AJ40"/>
      <c r="AL40"/>
      <c r="AR40"/>
      <c r="AS40"/>
      <c r="AT40"/>
      <c r="AU40"/>
      <c r="AV40"/>
      <c r="BA40"/>
      <c r="BB40"/>
      <c r="BC40" t="s">
        <v>1408</v>
      </c>
      <c r="BD40"/>
      <c r="BE40"/>
      <c r="BG40"/>
      <c r="BH40"/>
      <c r="BI40"/>
      <c r="BK40"/>
      <c r="BT40" s="608" t="s">
        <v>1327</v>
      </c>
      <c r="BU40" s="608" t="s">
        <v>635</v>
      </c>
      <c r="BV40" s="608" t="s">
        <v>641</v>
      </c>
      <c r="BX40" s="608">
        <v>1</v>
      </c>
      <c r="BY40" s="608" t="s">
        <v>697</v>
      </c>
      <c r="BZ40"/>
      <c r="CJ40" s="608" t="s">
        <v>1190</v>
      </c>
      <c r="CP40" s="608" t="s">
        <v>1410</v>
      </c>
      <c r="CZ40" s="608" t="s">
        <v>1118</v>
      </c>
    </row>
    <row r="41" spans="3:104" x14ac:dyDescent="0.35">
      <c r="C41" s="608" t="s">
        <v>926</v>
      </c>
      <c r="D41" s="608" t="s">
        <v>926</v>
      </c>
      <c r="F41" s="608" t="s">
        <v>1405</v>
      </c>
      <c r="G41" s="608" t="s">
        <v>1406</v>
      </c>
      <c r="H41" s="608" t="s">
        <v>709</v>
      </c>
      <c r="I41" s="608" t="s">
        <v>926</v>
      </c>
      <c r="K41"/>
      <c r="O41"/>
      <c r="P41"/>
      <c r="Q41"/>
      <c r="R41"/>
      <c r="W41"/>
      <c r="X41"/>
      <c r="AA41" s="46"/>
      <c r="AB41" s="46"/>
      <c r="AD41"/>
      <c r="AH41"/>
      <c r="AI41"/>
      <c r="AJ41"/>
      <c r="AL41"/>
      <c r="AP41"/>
      <c r="AR41" s="46"/>
      <c r="AS41" s="46"/>
      <c r="AT41" s="46"/>
      <c r="AU41" s="46"/>
      <c r="AV41" s="46"/>
      <c r="AW41"/>
      <c r="BA41"/>
      <c r="BB41"/>
      <c r="BC41" t="s">
        <v>1383</v>
      </c>
      <c r="BD41"/>
      <c r="BE41"/>
      <c r="BG41" s="46"/>
      <c r="BH41"/>
      <c r="BI41"/>
      <c r="BK41"/>
      <c r="BT41" s="608" t="s">
        <v>1331</v>
      </c>
      <c r="BU41" s="608" t="s">
        <v>635</v>
      </c>
      <c r="BV41" s="608" t="s">
        <v>641</v>
      </c>
      <c r="BX41" s="608">
        <v>1</v>
      </c>
      <c r="BY41" s="608" t="s">
        <v>697</v>
      </c>
      <c r="BZ41"/>
      <c r="CJ41" s="608" t="s">
        <v>1211</v>
      </c>
      <c r="CP41" s="608" t="s">
        <v>1391</v>
      </c>
      <c r="CZ41" s="608" t="s">
        <v>1233</v>
      </c>
    </row>
    <row r="42" spans="3:104" x14ac:dyDescent="0.35">
      <c r="C42" s="608" t="s">
        <v>958</v>
      </c>
      <c r="D42" s="608" t="s">
        <v>958</v>
      </c>
      <c r="F42" s="608" t="s">
        <v>1405</v>
      </c>
      <c r="G42" s="608" t="s">
        <v>1406</v>
      </c>
      <c r="H42" s="608" t="s">
        <v>709</v>
      </c>
      <c r="I42" s="608" t="s">
        <v>958</v>
      </c>
      <c r="K42"/>
      <c r="O42"/>
      <c r="P42"/>
      <c r="Q42"/>
      <c r="R42"/>
      <c r="W42"/>
      <c r="X42"/>
      <c r="AA42"/>
      <c r="AB42"/>
      <c r="AD42"/>
      <c r="AH42"/>
      <c r="AI42"/>
      <c r="AJ42"/>
      <c r="AL42"/>
      <c r="AP42"/>
      <c r="AQ42"/>
      <c r="AR42"/>
      <c r="AS42"/>
      <c r="AT42"/>
      <c r="AU42"/>
      <c r="AV42"/>
      <c r="AW42"/>
      <c r="BA42"/>
      <c r="BB42"/>
      <c r="BC42" t="s">
        <v>1409</v>
      </c>
      <c r="BD42"/>
      <c r="BE42"/>
      <c r="BG42"/>
      <c r="BH42"/>
      <c r="BI42"/>
      <c r="BK42" s="46"/>
      <c r="BT42" s="608" t="s">
        <v>1354</v>
      </c>
      <c r="BU42" s="608" t="s">
        <v>635</v>
      </c>
      <c r="BV42" s="608" t="s">
        <v>641</v>
      </c>
      <c r="BX42" s="608">
        <v>1</v>
      </c>
      <c r="BY42" s="608" t="s">
        <v>697</v>
      </c>
      <c r="BZ42" s="46"/>
      <c r="CJ42" s="608" t="s">
        <v>1232</v>
      </c>
      <c r="CP42" s="608" t="s">
        <v>1411</v>
      </c>
      <c r="CZ42" s="608" t="s">
        <v>1212</v>
      </c>
    </row>
    <row r="43" spans="3:104" x14ac:dyDescent="0.35">
      <c r="C43" s="608" t="s">
        <v>993</v>
      </c>
      <c r="D43" s="608" t="s">
        <v>993</v>
      </c>
      <c r="F43" s="608" t="s">
        <v>1405</v>
      </c>
      <c r="G43" s="608" t="s">
        <v>1406</v>
      </c>
      <c r="H43" s="608" t="s">
        <v>709</v>
      </c>
      <c r="I43" s="608" t="s">
        <v>993</v>
      </c>
      <c r="K43"/>
      <c r="O43"/>
      <c r="P43"/>
      <c r="Q43"/>
      <c r="R43"/>
      <c r="W43"/>
      <c r="X43"/>
      <c r="AA43"/>
      <c r="AB43"/>
      <c r="AD43"/>
      <c r="AH43"/>
      <c r="AI43"/>
      <c r="AJ43"/>
      <c r="AL43"/>
      <c r="AP43"/>
      <c r="AQ43"/>
      <c r="AR43"/>
      <c r="AS43"/>
      <c r="AT43"/>
      <c r="AU43"/>
      <c r="AV43"/>
      <c r="AW43"/>
      <c r="BA43"/>
      <c r="BB43"/>
      <c r="BC43" t="s">
        <v>1389</v>
      </c>
      <c r="BD43"/>
      <c r="BE43"/>
      <c r="BG43"/>
      <c r="BH43"/>
      <c r="BI43"/>
      <c r="BJ43"/>
      <c r="BK43"/>
      <c r="BT43" s="608" t="s">
        <v>1344</v>
      </c>
      <c r="BU43" s="608" t="s">
        <v>635</v>
      </c>
      <c r="BV43" s="608" t="s">
        <v>641</v>
      </c>
      <c r="BX43" s="608">
        <v>1</v>
      </c>
      <c r="BY43" s="608" t="s">
        <v>697</v>
      </c>
      <c r="BZ43"/>
      <c r="CJ43" s="608" t="s">
        <v>1254</v>
      </c>
      <c r="CP43" s="608" t="s">
        <v>1413</v>
      </c>
      <c r="CZ43" s="608" t="s">
        <v>842</v>
      </c>
    </row>
    <row r="44" spans="3:104" x14ac:dyDescent="0.35">
      <c r="C44" s="608" t="s">
        <v>1091</v>
      </c>
      <c r="D44" s="608" t="s">
        <v>1091</v>
      </c>
      <c r="F44" s="608" t="s">
        <v>1405</v>
      </c>
      <c r="G44" s="608" t="s">
        <v>1406</v>
      </c>
      <c r="H44" s="608" t="s">
        <v>709</v>
      </c>
      <c r="I44" s="608" t="s">
        <v>1091</v>
      </c>
      <c r="K44"/>
      <c r="O44"/>
      <c r="P44"/>
      <c r="Q44"/>
      <c r="R44" s="46"/>
      <c r="W44"/>
      <c r="X44"/>
      <c r="AA44"/>
      <c r="AB44"/>
      <c r="AD44"/>
      <c r="AH44"/>
      <c r="AI44"/>
      <c r="AJ44"/>
      <c r="AL44"/>
      <c r="AP44"/>
      <c r="AQ44"/>
      <c r="AR44"/>
      <c r="AS44"/>
      <c r="AT44"/>
      <c r="AU44"/>
      <c r="AV44"/>
      <c r="AW44"/>
      <c r="AX44"/>
      <c r="AY44"/>
      <c r="AZ44"/>
      <c r="BA44"/>
      <c r="BB44"/>
      <c r="BC44" t="s">
        <v>1410</v>
      </c>
      <c r="BD44"/>
      <c r="BE44"/>
      <c r="BG44"/>
      <c r="BH44"/>
      <c r="BI44"/>
      <c r="BJ44"/>
      <c r="BK44"/>
      <c r="BN44"/>
      <c r="BT44" s="608" t="s">
        <v>1372</v>
      </c>
      <c r="BU44" s="608" t="s">
        <v>635</v>
      </c>
      <c r="BV44" s="608" t="s">
        <v>641</v>
      </c>
      <c r="BX44" s="608">
        <v>1</v>
      </c>
      <c r="BY44" s="608" t="s">
        <v>697</v>
      </c>
      <c r="BZ44"/>
      <c r="CJ44" s="608" t="s">
        <v>750</v>
      </c>
      <c r="CP44" s="608" t="s">
        <v>1402</v>
      </c>
      <c r="CZ44" s="608" t="s">
        <v>696</v>
      </c>
    </row>
    <row r="45" spans="3:104" x14ac:dyDescent="0.35">
      <c r="C45" s="608" t="s">
        <v>1412</v>
      </c>
      <c r="D45" s="608" t="s">
        <v>1412</v>
      </c>
      <c r="F45" s="608" t="s">
        <v>1405</v>
      </c>
      <c r="G45" s="608" t="s">
        <v>1406</v>
      </c>
      <c r="H45" s="608" t="s">
        <v>709</v>
      </c>
      <c r="I45" s="608" t="s">
        <v>1412</v>
      </c>
      <c r="K45"/>
      <c r="O45"/>
      <c r="P45"/>
      <c r="Q45"/>
      <c r="R45"/>
      <c r="W45"/>
      <c r="X45"/>
      <c r="AA45"/>
      <c r="AB45"/>
      <c r="AD45"/>
      <c r="AH45"/>
      <c r="AI45"/>
      <c r="AJ45"/>
      <c r="AL45"/>
      <c r="AO45"/>
      <c r="AP45"/>
      <c r="AQ45"/>
      <c r="AR45"/>
      <c r="AS45"/>
      <c r="AT45"/>
      <c r="AU45"/>
      <c r="AV45"/>
      <c r="AW45"/>
      <c r="AX45"/>
      <c r="AY45"/>
      <c r="AZ45"/>
      <c r="BA45"/>
      <c r="BB45"/>
      <c r="BC45" t="s">
        <v>1391</v>
      </c>
      <c r="BD45"/>
      <c r="BE45"/>
      <c r="BG45"/>
      <c r="BH45"/>
      <c r="BI45"/>
      <c r="BJ45"/>
      <c r="BK45"/>
      <c r="BN45"/>
      <c r="BT45" s="608" t="s">
        <v>1377</v>
      </c>
      <c r="BU45" s="608" t="s">
        <v>635</v>
      </c>
      <c r="BV45" s="608" t="s">
        <v>641</v>
      </c>
      <c r="BX45" s="608">
        <v>1</v>
      </c>
      <c r="BY45" s="608" t="s">
        <v>697</v>
      </c>
      <c r="BZ45"/>
      <c r="CP45" s="608" t="s">
        <v>1394</v>
      </c>
      <c r="CZ45" s="608" t="s">
        <v>917</v>
      </c>
    </row>
    <row r="46" spans="3:104" x14ac:dyDescent="0.35">
      <c r="C46" s="608" t="s">
        <v>1124</v>
      </c>
      <c r="D46" s="608" t="s">
        <v>1124</v>
      </c>
      <c r="F46" s="608" t="s">
        <v>1405</v>
      </c>
      <c r="G46" s="608" t="s">
        <v>1406</v>
      </c>
      <c r="H46" s="608" t="s">
        <v>709</v>
      </c>
      <c r="I46" s="608" t="s">
        <v>1124</v>
      </c>
      <c r="K46"/>
      <c r="O46"/>
      <c r="P46"/>
      <c r="Q46"/>
      <c r="R46"/>
      <c r="W46"/>
      <c r="X46"/>
      <c r="AA46"/>
      <c r="AB46"/>
      <c r="AD46"/>
      <c r="AH46"/>
      <c r="AI46"/>
      <c r="AJ46"/>
      <c r="AL46"/>
      <c r="AO46"/>
      <c r="AP46"/>
      <c r="AQ46"/>
      <c r="AR46"/>
      <c r="AS46"/>
      <c r="AT46"/>
      <c r="AU46"/>
      <c r="AV46"/>
      <c r="AW46"/>
      <c r="AX46"/>
      <c r="AY46"/>
      <c r="AZ46"/>
      <c r="BA46"/>
      <c r="BB46"/>
      <c r="BC46" t="s">
        <v>1411</v>
      </c>
      <c r="BD46"/>
      <c r="BE46"/>
      <c r="BG46"/>
      <c r="BH46"/>
      <c r="BI46"/>
      <c r="BJ46"/>
      <c r="BK46"/>
      <c r="BN46"/>
      <c r="BT46" s="608" t="s">
        <v>1355</v>
      </c>
      <c r="BU46" s="608" t="s">
        <v>635</v>
      </c>
      <c r="BV46" s="608" t="s">
        <v>641</v>
      </c>
      <c r="BX46" s="608">
        <v>1</v>
      </c>
      <c r="BY46" s="608" t="s">
        <v>697</v>
      </c>
      <c r="BZ46"/>
      <c r="CP46" s="608" t="s">
        <v>1398</v>
      </c>
    </row>
    <row r="47" spans="3:104" x14ac:dyDescent="0.35">
      <c r="C47" s="608" t="s">
        <v>1414</v>
      </c>
      <c r="D47" s="608" t="s">
        <v>1414</v>
      </c>
      <c r="F47" s="608" t="s">
        <v>1405</v>
      </c>
      <c r="G47" s="608" t="s">
        <v>1406</v>
      </c>
      <c r="H47" s="608" t="s">
        <v>709</v>
      </c>
      <c r="I47" s="608" t="s">
        <v>1414</v>
      </c>
      <c r="O47"/>
      <c r="P47"/>
      <c r="Q47"/>
      <c r="R47"/>
      <c r="W47"/>
      <c r="X47"/>
      <c r="AA47"/>
      <c r="AB47"/>
      <c r="AD47"/>
      <c r="AH47"/>
      <c r="AI47"/>
      <c r="AJ47"/>
      <c r="AL47"/>
      <c r="AO47"/>
      <c r="AP47"/>
      <c r="AQ47"/>
      <c r="AR47"/>
      <c r="AS47"/>
      <c r="AT47"/>
      <c r="AU47"/>
      <c r="AV47"/>
      <c r="AW47"/>
      <c r="AX47"/>
      <c r="AY47"/>
      <c r="AZ47"/>
      <c r="BA47"/>
      <c r="BB47"/>
      <c r="BC47" t="s">
        <v>1413</v>
      </c>
      <c r="BD47"/>
      <c r="BE47"/>
      <c r="BG47"/>
      <c r="BH47"/>
      <c r="BI47"/>
      <c r="BJ47"/>
      <c r="BK47"/>
      <c r="BN47"/>
      <c r="BT47" s="608" t="s">
        <v>1365</v>
      </c>
      <c r="BU47" s="608" t="s">
        <v>635</v>
      </c>
      <c r="BV47" s="608" t="s">
        <v>641</v>
      </c>
      <c r="BX47" s="608">
        <v>1</v>
      </c>
      <c r="BY47" s="608" t="s">
        <v>697</v>
      </c>
      <c r="BZ47"/>
      <c r="CP47" s="608" t="s">
        <v>750</v>
      </c>
    </row>
    <row r="48" spans="3:104" x14ac:dyDescent="0.35">
      <c r="C48" s="608" t="s">
        <v>1175</v>
      </c>
      <c r="D48" s="608" t="s">
        <v>1175</v>
      </c>
      <c r="F48" s="608" t="s">
        <v>1405</v>
      </c>
      <c r="G48" s="608" t="s">
        <v>1406</v>
      </c>
      <c r="H48" s="608" t="s">
        <v>709</v>
      </c>
      <c r="I48" s="608" t="s">
        <v>1175</v>
      </c>
      <c r="K48"/>
      <c r="O48"/>
      <c r="P48"/>
      <c r="Q48"/>
      <c r="R48"/>
      <c r="W48"/>
      <c r="X48"/>
      <c r="AA48"/>
      <c r="AB48"/>
      <c r="AD48"/>
      <c r="AH48"/>
      <c r="AI48"/>
      <c r="AJ48"/>
      <c r="AL48"/>
      <c r="AO48"/>
      <c r="AP48"/>
      <c r="AQ48"/>
      <c r="AR48"/>
      <c r="AS48"/>
      <c r="AT48"/>
      <c r="AU48"/>
      <c r="AV48"/>
      <c r="AW48"/>
      <c r="AX48"/>
      <c r="AY48"/>
      <c r="AZ48"/>
      <c r="BA48"/>
      <c r="BB48"/>
      <c r="BC48" t="s">
        <v>1402</v>
      </c>
      <c r="BD48"/>
      <c r="BE48"/>
      <c r="BG48"/>
      <c r="BH48"/>
      <c r="BI48"/>
      <c r="BJ48"/>
      <c r="BK48"/>
      <c r="BN48"/>
      <c r="BT48" s="608" t="s">
        <v>1393</v>
      </c>
      <c r="BU48" s="608" t="s">
        <v>635</v>
      </c>
      <c r="BV48" s="608" t="s">
        <v>641</v>
      </c>
      <c r="BX48" s="608">
        <v>1</v>
      </c>
      <c r="BY48" s="608" t="s">
        <v>697</v>
      </c>
      <c r="BZ48"/>
    </row>
    <row r="49" spans="3:78" x14ac:dyDescent="0.35">
      <c r="C49" s="608" t="s">
        <v>1218</v>
      </c>
      <c r="D49" s="608" t="s">
        <v>1218</v>
      </c>
      <c r="F49" s="608" t="s">
        <v>1405</v>
      </c>
      <c r="G49" s="608" t="s">
        <v>1406</v>
      </c>
      <c r="H49" s="608" t="s">
        <v>709</v>
      </c>
      <c r="I49" s="608" t="s">
        <v>1218</v>
      </c>
      <c r="K49"/>
      <c r="O49"/>
      <c r="P49"/>
      <c r="Q49"/>
      <c r="R49"/>
      <c r="W49" s="46"/>
      <c r="X49" s="46"/>
      <c r="AA49"/>
      <c r="AB49"/>
      <c r="AD49"/>
      <c r="AH49"/>
      <c r="AI49"/>
      <c r="AJ49"/>
      <c r="AL49"/>
      <c r="AO49"/>
      <c r="AP49"/>
      <c r="AQ49"/>
      <c r="AR49"/>
      <c r="AS49"/>
      <c r="AT49"/>
      <c r="AU49"/>
      <c r="AV49"/>
      <c r="AW49"/>
      <c r="AX49"/>
      <c r="AY49"/>
      <c r="AZ49"/>
      <c r="BA49"/>
      <c r="BB49"/>
      <c r="BC49" t="s">
        <v>1398</v>
      </c>
      <c r="BD49"/>
      <c r="BE49"/>
      <c r="BG49"/>
      <c r="BH49"/>
      <c r="BI49"/>
      <c r="BJ49"/>
      <c r="BK49"/>
      <c r="BL49"/>
      <c r="BM49"/>
      <c r="BN49"/>
      <c r="BT49" s="608" t="s">
        <v>1397</v>
      </c>
      <c r="BU49" s="608" t="s">
        <v>635</v>
      </c>
      <c r="BV49" s="608" t="s">
        <v>641</v>
      </c>
      <c r="BX49" s="608">
        <v>1</v>
      </c>
      <c r="BY49" s="608" t="s">
        <v>697</v>
      </c>
      <c r="BZ49"/>
    </row>
    <row r="50" spans="3:78" x14ac:dyDescent="0.35">
      <c r="C50" s="608" t="s">
        <v>1287</v>
      </c>
      <c r="D50" s="608" t="s">
        <v>1287</v>
      </c>
      <c r="F50" s="608" t="s">
        <v>1405</v>
      </c>
      <c r="G50" s="608" t="s">
        <v>1406</v>
      </c>
      <c r="H50" s="608" t="s">
        <v>709</v>
      </c>
      <c r="I50" s="608" t="s">
        <v>1287</v>
      </c>
      <c r="K50"/>
      <c r="O50"/>
      <c r="P50"/>
      <c r="Q50"/>
      <c r="R50"/>
      <c r="W50"/>
      <c r="X50"/>
      <c r="AA50"/>
      <c r="AB50"/>
      <c r="AD50"/>
      <c r="AH50"/>
      <c r="AI50"/>
      <c r="AJ50"/>
      <c r="AL50"/>
      <c r="AO50"/>
      <c r="AP50"/>
      <c r="AQ50"/>
      <c r="AR50"/>
      <c r="AS50"/>
      <c r="AT50"/>
      <c r="AU50"/>
      <c r="AV50"/>
      <c r="AW50"/>
      <c r="AX50"/>
      <c r="AY50"/>
      <c r="AZ50"/>
      <c r="BA50"/>
      <c r="BB50"/>
      <c r="BC50" t="s">
        <v>1394</v>
      </c>
      <c r="BD50"/>
      <c r="BE50"/>
      <c r="BG50"/>
      <c r="BH50" s="46"/>
      <c r="BI50"/>
      <c r="BJ50"/>
      <c r="BK50"/>
      <c r="BL50"/>
      <c r="BM50"/>
      <c r="BN50"/>
      <c r="BT50" s="608" t="s">
        <v>1401</v>
      </c>
      <c r="BU50" s="608" t="s">
        <v>635</v>
      </c>
      <c r="BV50" s="608" t="s">
        <v>641</v>
      </c>
      <c r="BX50" s="608">
        <v>1</v>
      </c>
      <c r="BY50" s="608" t="s">
        <v>697</v>
      </c>
      <c r="BZ50"/>
    </row>
    <row r="51" spans="3:78" x14ac:dyDescent="0.35">
      <c r="C51" s="608" t="s">
        <v>1334</v>
      </c>
      <c r="D51" s="608" t="s">
        <v>1334</v>
      </c>
      <c r="F51" s="608" t="s">
        <v>1405</v>
      </c>
      <c r="G51" s="608" t="s">
        <v>1406</v>
      </c>
      <c r="H51" s="608" t="s">
        <v>709</v>
      </c>
      <c r="I51" s="608" t="s">
        <v>1334</v>
      </c>
      <c r="K51"/>
      <c r="O51"/>
      <c r="P51"/>
      <c r="Q51"/>
      <c r="R51"/>
      <c r="W51"/>
      <c r="X51"/>
      <c r="AA51"/>
      <c r="AB51"/>
      <c r="AD51"/>
      <c r="AH51"/>
      <c r="AI51"/>
      <c r="AJ51"/>
      <c r="AL51"/>
      <c r="AO51"/>
      <c r="AP51"/>
      <c r="AQ51"/>
      <c r="AR51"/>
      <c r="AS51"/>
      <c r="AT51"/>
      <c r="AU51"/>
      <c r="AV51"/>
      <c r="AW51"/>
      <c r="AX51"/>
      <c r="AY51"/>
      <c r="AZ51"/>
      <c r="BA51"/>
      <c r="BB51"/>
      <c r="BC51" s="46" t="s">
        <v>761</v>
      </c>
      <c r="BD51"/>
      <c r="BE51"/>
      <c r="BG51"/>
      <c r="BH51"/>
      <c r="BI51"/>
      <c r="BJ51"/>
      <c r="BK51"/>
      <c r="BL51"/>
      <c r="BM51"/>
      <c r="BN51"/>
      <c r="BT51" s="608" t="s">
        <v>1373</v>
      </c>
      <c r="BU51" s="608" t="s">
        <v>635</v>
      </c>
      <c r="BV51" s="608" t="s">
        <v>641</v>
      </c>
      <c r="BX51" s="608">
        <v>1</v>
      </c>
      <c r="BY51" s="608" t="s">
        <v>697</v>
      </c>
      <c r="BZ51"/>
    </row>
    <row r="52" spans="3:78" x14ac:dyDescent="0.35">
      <c r="C52" s="608" t="s">
        <v>1415</v>
      </c>
      <c r="D52" s="608" t="s">
        <v>1415</v>
      </c>
      <c r="F52" s="608" t="s">
        <v>658</v>
      </c>
      <c r="G52" s="608" t="s">
        <v>1416</v>
      </c>
      <c r="H52" s="608" t="s">
        <v>709</v>
      </c>
      <c r="I52" s="608" t="s">
        <v>1415</v>
      </c>
      <c r="K52"/>
      <c r="O52"/>
      <c r="P52"/>
      <c r="Q52"/>
      <c r="R52"/>
      <c r="W52"/>
      <c r="X52"/>
      <c r="Y52"/>
      <c r="Z52"/>
      <c r="AA52"/>
      <c r="AB52"/>
      <c r="AD52"/>
      <c r="AH52"/>
      <c r="AI52"/>
      <c r="AJ52"/>
      <c r="AL52"/>
      <c r="AO52"/>
      <c r="AP52"/>
      <c r="AQ52"/>
      <c r="AR52"/>
      <c r="AS52"/>
      <c r="AT52"/>
      <c r="AU52"/>
      <c r="AV52"/>
      <c r="AW52"/>
      <c r="AX52"/>
      <c r="AY52"/>
      <c r="AZ52"/>
      <c r="BG52"/>
      <c r="BH52"/>
      <c r="BI52"/>
      <c r="BJ52"/>
      <c r="BK52"/>
      <c r="BL52"/>
      <c r="BM52"/>
      <c r="BN52"/>
      <c r="BT52" s="608" t="s">
        <v>1378</v>
      </c>
      <c r="BU52" s="608" t="s">
        <v>635</v>
      </c>
      <c r="BV52" s="608" t="s">
        <v>641</v>
      </c>
      <c r="BX52" s="608">
        <v>1</v>
      </c>
      <c r="BY52" s="608" t="s">
        <v>697</v>
      </c>
      <c r="BZ52"/>
    </row>
    <row r="53" spans="3:78" x14ac:dyDescent="0.35">
      <c r="C53" s="608" t="s">
        <v>1417</v>
      </c>
      <c r="D53" s="608" t="s">
        <v>1417</v>
      </c>
      <c r="F53" s="608" t="s">
        <v>658</v>
      </c>
      <c r="G53" s="608" t="s">
        <v>1416</v>
      </c>
      <c r="H53" s="608" t="s">
        <v>709</v>
      </c>
      <c r="I53" s="608" t="s">
        <v>1417</v>
      </c>
      <c r="K53"/>
      <c r="O53"/>
      <c r="P53"/>
      <c r="Q53"/>
      <c r="R53"/>
      <c r="W53"/>
      <c r="X53"/>
      <c r="Y53"/>
      <c r="Z53"/>
      <c r="AA53"/>
      <c r="AB53"/>
      <c r="AD53"/>
      <c r="AH53"/>
      <c r="AI53"/>
      <c r="AJ53"/>
      <c r="AL53"/>
      <c r="AO53"/>
      <c r="AP53"/>
      <c r="AQ53"/>
      <c r="AR53"/>
      <c r="AS53"/>
      <c r="AT53"/>
      <c r="AU53"/>
      <c r="AV53"/>
      <c r="AW53"/>
      <c r="AX53"/>
      <c r="AY53"/>
      <c r="AZ53"/>
      <c r="BG53"/>
      <c r="BH53"/>
      <c r="BI53"/>
      <c r="BJ53"/>
      <c r="BK53"/>
      <c r="BL53"/>
      <c r="BM53"/>
      <c r="BN53"/>
      <c r="BT53" s="608" t="s">
        <v>1408</v>
      </c>
      <c r="BU53" s="608" t="s">
        <v>635</v>
      </c>
      <c r="BV53" s="608" t="s">
        <v>641</v>
      </c>
      <c r="BX53" s="608">
        <v>1</v>
      </c>
      <c r="BY53" s="608" t="s">
        <v>697</v>
      </c>
      <c r="BZ53"/>
    </row>
    <row r="54" spans="3:78" x14ac:dyDescent="0.35">
      <c r="C54" s="608" t="s">
        <v>1418</v>
      </c>
      <c r="D54" s="608" t="s">
        <v>1418</v>
      </c>
      <c r="F54" s="608" t="s">
        <v>658</v>
      </c>
      <c r="G54" s="608" t="s">
        <v>1416</v>
      </c>
      <c r="H54" s="608" t="s">
        <v>709</v>
      </c>
      <c r="I54" s="608" t="s">
        <v>1418</v>
      </c>
      <c r="K54"/>
      <c r="O54"/>
      <c r="P54"/>
      <c r="Q54"/>
      <c r="R54"/>
      <c r="W54"/>
      <c r="X54"/>
      <c r="Y54"/>
      <c r="Z54"/>
      <c r="AA54"/>
      <c r="AB54"/>
      <c r="AD54"/>
      <c r="AH54"/>
      <c r="AI54"/>
      <c r="AJ54"/>
      <c r="AL54"/>
      <c r="AO54"/>
      <c r="AP54"/>
      <c r="AQ54"/>
      <c r="AR54"/>
      <c r="AS54"/>
      <c r="AT54"/>
      <c r="AU54"/>
      <c r="AV54"/>
      <c r="AW54"/>
      <c r="AX54"/>
      <c r="AY54"/>
      <c r="AZ54"/>
      <c r="BG54"/>
      <c r="BH54"/>
      <c r="BI54"/>
      <c r="BJ54"/>
      <c r="BK54"/>
      <c r="BL54"/>
      <c r="BM54"/>
      <c r="BN54"/>
      <c r="BT54" s="608" t="s">
        <v>1383</v>
      </c>
      <c r="BU54" s="608" t="s">
        <v>635</v>
      </c>
      <c r="BV54" s="608" t="s">
        <v>641</v>
      </c>
      <c r="BX54" s="608">
        <v>1</v>
      </c>
      <c r="BY54" s="608" t="s">
        <v>697</v>
      </c>
      <c r="BZ54"/>
    </row>
    <row r="55" spans="3:78" x14ac:dyDescent="0.35">
      <c r="C55" s="608" t="s">
        <v>1419</v>
      </c>
      <c r="D55" s="608" t="s">
        <v>1419</v>
      </c>
      <c r="F55" s="608" t="s">
        <v>658</v>
      </c>
      <c r="G55" s="608" t="s">
        <v>1416</v>
      </c>
      <c r="H55" s="608" t="s">
        <v>709</v>
      </c>
      <c r="I55" s="608" t="s">
        <v>1419</v>
      </c>
      <c r="K55"/>
      <c r="O55"/>
      <c r="P55"/>
      <c r="Q55"/>
      <c r="R55"/>
      <c r="W55"/>
      <c r="X55"/>
      <c r="Y55"/>
      <c r="Z55"/>
      <c r="AA55"/>
      <c r="AB55"/>
      <c r="AD55"/>
      <c r="AE55"/>
      <c r="AH55"/>
      <c r="AI55"/>
      <c r="AJ55"/>
      <c r="AL55"/>
      <c r="AM55"/>
      <c r="AN55"/>
      <c r="AO55"/>
      <c r="AP55"/>
      <c r="AQ55"/>
      <c r="AR55"/>
      <c r="AS55"/>
      <c r="AT55"/>
      <c r="AU55"/>
      <c r="AV55"/>
      <c r="AW55"/>
      <c r="AX55"/>
      <c r="AY55"/>
      <c r="AZ55"/>
      <c r="BG55"/>
      <c r="BH55"/>
      <c r="BI55"/>
      <c r="BJ55"/>
      <c r="BK55"/>
      <c r="BL55"/>
      <c r="BM55"/>
      <c r="BN55"/>
      <c r="BT55" s="608" t="s">
        <v>1409</v>
      </c>
      <c r="BU55" s="608" t="s">
        <v>635</v>
      </c>
      <c r="BV55" s="608" t="s">
        <v>641</v>
      </c>
      <c r="BX55" s="608">
        <v>1</v>
      </c>
      <c r="BY55" s="608" t="s">
        <v>697</v>
      </c>
      <c r="BZ55"/>
    </row>
    <row r="56" spans="3:78" x14ac:dyDescent="0.35">
      <c r="C56" s="608" t="s">
        <v>1420</v>
      </c>
      <c r="D56" s="608" t="s">
        <v>1420</v>
      </c>
      <c r="F56" s="608" t="s">
        <v>658</v>
      </c>
      <c r="G56" s="608" t="s">
        <v>1416</v>
      </c>
      <c r="H56" s="608" t="s">
        <v>709</v>
      </c>
      <c r="I56" s="608" t="s">
        <v>1420</v>
      </c>
      <c r="K56"/>
      <c r="O56"/>
      <c r="P56"/>
      <c r="Q56"/>
      <c r="R56"/>
      <c r="W56"/>
      <c r="X56"/>
      <c r="Y56"/>
      <c r="Z56"/>
      <c r="AA56"/>
      <c r="AB56"/>
      <c r="AD56"/>
      <c r="AE56"/>
      <c r="AH56"/>
      <c r="AI56"/>
      <c r="AJ56"/>
      <c r="AK56"/>
      <c r="BG56"/>
      <c r="BH56"/>
      <c r="BI56"/>
      <c r="BJ56"/>
      <c r="BK56"/>
      <c r="BL56"/>
      <c r="BM56"/>
      <c r="BN56"/>
      <c r="BT56" s="608" t="s">
        <v>1389</v>
      </c>
      <c r="BU56" s="608" t="s">
        <v>635</v>
      </c>
      <c r="BV56" s="608" t="s">
        <v>641</v>
      </c>
      <c r="BX56" s="608">
        <v>1</v>
      </c>
      <c r="BY56" s="608" t="s">
        <v>697</v>
      </c>
      <c r="BZ56"/>
    </row>
    <row r="57" spans="3:78" x14ac:dyDescent="0.35">
      <c r="C57" s="608" t="s">
        <v>1421</v>
      </c>
      <c r="D57" s="608" t="s">
        <v>1421</v>
      </c>
      <c r="F57" s="608" t="s">
        <v>658</v>
      </c>
      <c r="G57" s="608" t="s">
        <v>1416</v>
      </c>
      <c r="H57" s="608" t="s">
        <v>709</v>
      </c>
      <c r="I57" s="608" t="s">
        <v>1421</v>
      </c>
      <c r="K57"/>
      <c r="O57"/>
      <c r="P57"/>
      <c r="Q57"/>
      <c r="R57"/>
      <c r="W57"/>
      <c r="X57"/>
      <c r="Y57"/>
      <c r="Z57"/>
      <c r="AA57"/>
      <c r="AB57"/>
      <c r="AD57"/>
      <c r="AE57"/>
      <c r="AF57"/>
      <c r="AG57"/>
      <c r="AH57"/>
      <c r="AI57"/>
      <c r="AJ57"/>
      <c r="AK57"/>
      <c r="AQ57"/>
      <c r="AR57"/>
      <c r="AS57"/>
      <c r="AT57"/>
      <c r="AU57"/>
      <c r="AV57"/>
      <c r="AW57"/>
      <c r="AX57"/>
      <c r="AY57"/>
      <c r="AZ57"/>
      <c r="BA57"/>
      <c r="BB57"/>
      <c r="BC57"/>
      <c r="BD57"/>
      <c r="BE57"/>
      <c r="BF57"/>
      <c r="BG57"/>
      <c r="BH57"/>
      <c r="BI57"/>
      <c r="BJ57"/>
      <c r="BK57"/>
      <c r="BN57"/>
      <c r="BT57" t="s">
        <v>1410</v>
      </c>
      <c r="BU57" t="s">
        <v>635</v>
      </c>
      <c r="BV57" t="s">
        <v>641</v>
      </c>
      <c r="BW57"/>
      <c r="BX57" s="608">
        <v>1</v>
      </c>
      <c r="BY57" t="s">
        <v>697</v>
      </c>
      <c r="BZ57"/>
    </row>
    <row r="58" spans="3:78" x14ac:dyDescent="0.35">
      <c r="C58" s="608" t="s">
        <v>1422</v>
      </c>
      <c r="D58" s="608" t="s">
        <v>1422</v>
      </c>
      <c r="F58" s="608" t="s">
        <v>658</v>
      </c>
      <c r="G58" s="608" t="s">
        <v>1423</v>
      </c>
      <c r="H58" s="608" t="s">
        <v>709</v>
      </c>
      <c r="I58" s="608" t="s">
        <v>1422</v>
      </c>
      <c r="K58"/>
      <c r="O58"/>
      <c r="P58"/>
      <c r="Q58"/>
      <c r="R58"/>
      <c r="W58"/>
      <c r="X58"/>
      <c r="Y58"/>
      <c r="Z58"/>
      <c r="AA58"/>
      <c r="AB58"/>
      <c r="AD58"/>
      <c r="AE58"/>
      <c r="AF58"/>
      <c r="AG58"/>
      <c r="AH58"/>
      <c r="AI58"/>
      <c r="AJ58"/>
      <c r="AK58"/>
      <c r="AQ58"/>
      <c r="AR58"/>
      <c r="AS58"/>
      <c r="AT58"/>
      <c r="AU58"/>
      <c r="AV58"/>
      <c r="AW58"/>
      <c r="AX58"/>
      <c r="AY58"/>
      <c r="AZ58"/>
      <c r="BA58"/>
      <c r="BB58"/>
      <c r="BC58"/>
      <c r="BD58"/>
      <c r="BE58"/>
      <c r="BF58"/>
      <c r="BG58"/>
      <c r="BH58"/>
      <c r="BI58"/>
      <c r="BJ58"/>
      <c r="BK58"/>
      <c r="BN58"/>
      <c r="BT58" t="s">
        <v>1391</v>
      </c>
      <c r="BU58" t="s">
        <v>635</v>
      </c>
      <c r="BV58" t="s">
        <v>641</v>
      </c>
      <c r="BW58"/>
      <c r="BX58" s="608">
        <v>1</v>
      </c>
      <c r="BY58" t="s">
        <v>697</v>
      </c>
      <c r="BZ58"/>
    </row>
    <row r="59" spans="3:78" x14ac:dyDescent="0.35">
      <c r="C59" s="608" t="s">
        <v>815</v>
      </c>
      <c r="D59" s="608" t="s">
        <v>815</v>
      </c>
      <c r="F59" s="608" t="s">
        <v>658</v>
      </c>
      <c r="G59" s="608" t="s">
        <v>664</v>
      </c>
      <c r="H59" s="608" t="s">
        <v>709</v>
      </c>
      <c r="I59" s="608" t="s">
        <v>815</v>
      </c>
      <c r="K59"/>
      <c r="O59"/>
      <c r="P59"/>
      <c r="R59"/>
      <c r="S59" s="46"/>
      <c r="V59"/>
      <c r="W59"/>
      <c r="X59"/>
      <c r="Y59"/>
      <c r="Z59"/>
      <c r="AA59"/>
      <c r="AB59"/>
      <c r="AD59"/>
      <c r="AE59"/>
      <c r="AF59"/>
      <c r="AG59"/>
      <c r="AH59"/>
      <c r="AI59"/>
      <c r="AJ59"/>
      <c r="AK59"/>
      <c r="AQ59"/>
      <c r="AR59"/>
      <c r="AS59"/>
      <c r="AT59"/>
      <c r="AU59"/>
      <c r="AV59"/>
      <c r="AW59"/>
      <c r="AX59"/>
      <c r="AY59"/>
      <c r="AZ59"/>
      <c r="BA59"/>
      <c r="BB59"/>
      <c r="BC59"/>
      <c r="BD59"/>
      <c r="BE59"/>
      <c r="BF59"/>
      <c r="BG59"/>
      <c r="BH59"/>
      <c r="BI59"/>
      <c r="BJ59"/>
      <c r="BK59"/>
      <c r="BM59"/>
      <c r="BN59"/>
      <c r="BT59" t="s">
        <v>1411</v>
      </c>
      <c r="BU59" t="s">
        <v>635</v>
      </c>
      <c r="BV59" t="s">
        <v>641</v>
      </c>
      <c r="BW59"/>
      <c r="BX59" s="608">
        <v>1</v>
      </c>
      <c r="BY59" t="s">
        <v>697</v>
      </c>
      <c r="BZ59"/>
    </row>
    <row r="60" spans="3:78" x14ac:dyDescent="0.35">
      <c r="C60" s="608" t="s">
        <v>1424</v>
      </c>
      <c r="D60" s="608" t="s">
        <v>1424</v>
      </c>
      <c r="F60" s="608" t="s">
        <v>658</v>
      </c>
      <c r="G60" s="608" t="s">
        <v>664</v>
      </c>
      <c r="H60" s="608" t="s">
        <v>709</v>
      </c>
      <c r="I60" s="608" t="s">
        <v>1424</v>
      </c>
      <c r="K60"/>
      <c r="O60"/>
      <c r="P60"/>
      <c r="R60"/>
      <c r="S60"/>
      <c r="V60"/>
      <c r="W60"/>
      <c r="X60"/>
      <c r="Y60"/>
      <c r="Z60"/>
      <c r="AA60"/>
      <c r="AB60"/>
      <c r="AD60"/>
      <c r="AE60"/>
      <c r="AF60"/>
      <c r="AG60"/>
      <c r="AH60"/>
      <c r="AI60"/>
      <c r="AJ60"/>
      <c r="AK60"/>
      <c r="AQ60"/>
      <c r="AR60"/>
      <c r="AS60"/>
      <c r="AT60"/>
      <c r="AU60"/>
      <c r="AV60"/>
      <c r="AW60"/>
      <c r="AX60"/>
      <c r="AY60"/>
      <c r="AZ60"/>
      <c r="BA60"/>
      <c r="BB60"/>
      <c r="BC60"/>
      <c r="BD60"/>
      <c r="BE60"/>
      <c r="BF60"/>
      <c r="BG60"/>
      <c r="BH60"/>
      <c r="BI60"/>
      <c r="BJ60"/>
      <c r="BK60"/>
      <c r="BM60"/>
      <c r="BN60"/>
      <c r="BT60" t="s">
        <v>1413</v>
      </c>
      <c r="BU60" t="s">
        <v>635</v>
      </c>
      <c r="BV60" t="s">
        <v>641</v>
      </c>
      <c r="BW60"/>
      <c r="BX60" s="608">
        <v>1</v>
      </c>
      <c r="BY60" t="s">
        <v>697</v>
      </c>
      <c r="BZ60"/>
    </row>
    <row r="61" spans="3:78" x14ac:dyDescent="0.35">
      <c r="C61" s="608" t="s">
        <v>1425</v>
      </c>
      <c r="D61" s="608" t="s">
        <v>1425</v>
      </c>
      <c r="F61" s="608" t="s">
        <v>658</v>
      </c>
      <c r="G61" s="608" t="s">
        <v>664</v>
      </c>
      <c r="H61" s="608" t="s">
        <v>709</v>
      </c>
      <c r="I61" s="608" t="s">
        <v>1425</v>
      </c>
      <c r="K61"/>
      <c r="M61"/>
      <c r="O61"/>
      <c r="P61"/>
      <c r="R61"/>
      <c r="S61"/>
      <c r="V61"/>
      <c r="W61"/>
      <c r="X61"/>
      <c r="Y61"/>
      <c r="Z61"/>
      <c r="AA61"/>
      <c r="AB61"/>
      <c r="AD61"/>
      <c r="AE61"/>
      <c r="AF61"/>
      <c r="AG61"/>
      <c r="AH61"/>
      <c r="AI61"/>
      <c r="AJ61"/>
      <c r="AK61"/>
      <c r="AQ61"/>
      <c r="AR61"/>
      <c r="AS61"/>
      <c r="AT61"/>
      <c r="AU61"/>
      <c r="AV61"/>
      <c r="AW61"/>
      <c r="AX61"/>
      <c r="AY61"/>
      <c r="AZ61"/>
      <c r="BA61"/>
      <c r="BB61"/>
      <c r="BC61"/>
      <c r="BD61"/>
      <c r="BE61"/>
      <c r="BF61"/>
      <c r="BG61"/>
      <c r="BH61"/>
      <c r="BI61"/>
      <c r="BJ61"/>
      <c r="BK61"/>
      <c r="BM61"/>
      <c r="BN61"/>
      <c r="BT61" t="s">
        <v>1402</v>
      </c>
      <c r="BU61" t="s">
        <v>635</v>
      </c>
      <c r="BV61" t="s">
        <v>641</v>
      </c>
      <c r="BW61"/>
      <c r="BX61" s="608">
        <v>1</v>
      </c>
      <c r="BY61" t="s">
        <v>697</v>
      </c>
      <c r="BZ61"/>
    </row>
    <row r="62" spans="3:78" x14ac:dyDescent="0.35">
      <c r="C62" s="608" t="s">
        <v>1426</v>
      </c>
      <c r="D62" s="608" t="s">
        <v>1426</v>
      </c>
      <c r="F62" s="608" t="s">
        <v>658</v>
      </c>
      <c r="G62" s="608" t="s">
        <v>664</v>
      </c>
      <c r="H62" s="608" t="s">
        <v>709</v>
      </c>
      <c r="I62" s="608" t="s">
        <v>1426</v>
      </c>
      <c r="K62"/>
      <c r="M62"/>
      <c r="O62"/>
      <c r="P62"/>
      <c r="Q62"/>
      <c r="R62"/>
      <c r="S62"/>
      <c r="V62"/>
      <c r="W62"/>
      <c r="X62"/>
      <c r="Y62"/>
      <c r="Z62"/>
      <c r="AA62"/>
      <c r="AB62"/>
      <c r="AD62"/>
      <c r="AE62"/>
      <c r="AF62"/>
      <c r="AG62"/>
      <c r="AH62"/>
      <c r="AI62"/>
      <c r="AJ62"/>
      <c r="AK62"/>
      <c r="AQ62"/>
      <c r="AR62"/>
      <c r="AS62"/>
      <c r="AT62"/>
      <c r="AU62"/>
      <c r="AV62"/>
      <c r="AW62"/>
      <c r="AX62"/>
      <c r="AY62"/>
      <c r="AZ62"/>
      <c r="BA62"/>
      <c r="BB62"/>
      <c r="BC62"/>
      <c r="BD62"/>
      <c r="BE62"/>
      <c r="BF62"/>
      <c r="BG62"/>
      <c r="BH62"/>
      <c r="BI62"/>
      <c r="BJ62"/>
      <c r="BK62"/>
      <c r="BM62"/>
      <c r="BN62"/>
      <c r="BT62" s="608" t="s">
        <v>1394</v>
      </c>
      <c r="BU62" t="s">
        <v>635</v>
      </c>
      <c r="BV62" t="s">
        <v>641</v>
      </c>
      <c r="BW62"/>
      <c r="BX62" s="608">
        <v>1</v>
      </c>
      <c r="BY62" t="s">
        <v>697</v>
      </c>
      <c r="BZ62"/>
    </row>
    <row r="63" spans="3:78" x14ac:dyDescent="0.35">
      <c r="C63" s="608" t="s">
        <v>1427</v>
      </c>
      <c r="D63" s="608" t="s">
        <v>1427</v>
      </c>
      <c r="F63" s="608" t="s">
        <v>658</v>
      </c>
      <c r="G63" s="608" t="s">
        <v>664</v>
      </c>
      <c r="H63" s="608" t="s">
        <v>709</v>
      </c>
      <c r="I63" s="608" t="s">
        <v>1427</v>
      </c>
      <c r="K63"/>
      <c r="M63"/>
      <c r="O63"/>
      <c r="P63"/>
      <c r="Q63"/>
      <c r="R63"/>
      <c r="S63"/>
      <c r="U63"/>
      <c r="V63"/>
      <c r="W63"/>
      <c r="X63"/>
      <c r="Y63"/>
      <c r="Z63"/>
      <c r="AA63"/>
      <c r="AB63"/>
      <c r="AD63"/>
      <c r="AE63"/>
      <c r="AF63"/>
      <c r="AG63"/>
      <c r="AH63"/>
      <c r="AI63"/>
      <c r="AJ63"/>
      <c r="AK63"/>
      <c r="AQ63"/>
      <c r="AR63"/>
      <c r="AS63"/>
      <c r="AT63"/>
      <c r="AU63"/>
      <c r="AV63"/>
      <c r="AW63"/>
      <c r="AX63"/>
      <c r="AY63"/>
      <c r="AZ63"/>
      <c r="BA63"/>
      <c r="BB63"/>
      <c r="BC63"/>
      <c r="BD63"/>
      <c r="BE63"/>
      <c r="BF63"/>
      <c r="BG63"/>
      <c r="BH63"/>
      <c r="BI63"/>
      <c r="BJ63"/>
      <c r="BK63"/>
      <c r="BM63"/>
      <c r="BN63"/>
      <c r="BT63" t="s">
        <v>1398</v>
      </c>
      <c r="BU63" t="s">
        <v>635</v>
      </c>
      <c r="BV63" t="s">
        <v>641</v>
      </c>
      <c r="BW63"/>
      <c r="BX63" s="608">
        <v>1</v>
      </c>
      <c r="BY63" t="s">
        <v>697</v>
      </c>
      <c r="BZ63"/>
    </row>
    <row r="64" spans="3:78" x14ac:dyDescent="0.35">
      <c r="C64" s="608" t="s">
        <v>999</v>
      </c>
      <c r="D64" s="608" t="s">
        <v>999</v>
      </c>
      <c r="F64" s="608" t="s">
        <v>658</v>
      </c>
      <c r="G64" s="608" t="s">
        <v>664</v>
      </c>
      <c r="H64" s="608" t="s">
        <v>709</v>
      </c>
      <c r="I64" s="608" t="s">
        <v>999</v>
      </c>
      <c r="K64"/>
      <c r="M64"/>
      <c r="O64"/>
      <c r="P64"/>
      <c r="Q64"/>
      <c r="R64"/>
      <c r="S64"/>
      <c r="U64"/>
      <c r="V64"/>
      <c r="W64"/>
      <c r="X64"/>
      <c r="Y64"/>
      <c r="Z64"/>
      <c r="AA64"/>
      <c r="AB64"/>
      <c r="AC64"/>
      <c r="AD64"/>
      <c r="AE64"/>
      <c r="AF64"/>
      <c r="AG64"/>
      <c r="AH64"/>
      <c r="AI64"/>
      <c r="AJ64"/>
      <c r="AK64"/>
      <c r="AQ64"/>
      <c r="AR64"/>
      <c r="AS64"/>
      <c r="AT64"/>
      <c r="AU64"/>
      <c r="AV64"/>
      <c r="AW64"/>
      <c r="AX64"/>
      <c r="AY64"/>
      <c r="AZ64"/>
      <c r="BA64"/>
      <c r="BB64"/>
      <c r="BC64"/>
      <c r="BD64"/>
      <c r="BE64"/>
      <c r="BF64"/>
      <c r="BG64"/>
      <c r="BH64"/>
      <c r="BI64"/>
      <c r="BJ64"/>
      <c r="BK64"/>
      <c r="BM64"/>
      <c r="BN64"/>
      <c r="BT64" t="s">
        <v>704</v>
      </c>
      <c r="BU64" t="s">
        <v>635</v>
      </c>
      <c r="BV64" t="s">
        <v>642</v>
      </c>
      <c r="BW64" t="s">
        <v>709</v>
      </c>
      <c r="BX64" s="608">
        <v>1</v>
      </c>
      <c r="BY64" t="s">
        <v>697</v>
      </c>
      <c r="BZ64"/>
    </row>
    <row r="65" spans="3:82" x14ac:dyDescent="0.35">
      <c r="C65" s="608" t="s">
        <v>1428</v>
      </c>
      <c r="D65" s="608" t="s">
        <v>1428</v>
      </c>
      <c r="F65" s="608" t="s">
        <v>658</v>
      </c>
      <c r="G65" s="608" t="s">
        <v>664</v>
      </c>
      <c r="H65" s="608" t="s">
        <v>709</v>
      </c>
      <c r="I65" s="608" t="s">
        <v>1428</v>
      </c>
      <c r="K65"/>
      <c r="M65"/>
      <c r="O65"/>
      <c r="P65"/>
      <c r="Q65"/>
      <c r="R65"/>
      <c r="S65"/>
      <c r="T65"/>
      <c r="U65"/>
      <c r="V65"/>
      <c r="W65"/>
      <c r="X65"/>
      <c r="Y65"/>
      <c r="Z65"/>
      <c r="AA65"/>
      <c r="AB65"/>
      <c r="AC65"/>
      <c r="AD65"/>
      <c r="AE65"/>
      <c r="AF65"/>
      <c r="AG65"/>
      <c r="AH65"/>
      <c r="AI65"/>
      <c r="AJ65"/>
      <c r="AK65"/>
      <c r="AQ65"/>
      <c r="AR65"/>
      <c r="AS65"/>
      <c r="AT65"/>
      <c r="AU65"/>
      <c r="AV65"/>
      <c r="AW65"/>
      <c r="AX65"/>
      <c r="AY65"/>
      <c r="AZ65"/>
      <c r="BA65"/>
      <c r="BB65"/>
      <c r="BC65"/>
      <c r="BD65"/>
      <c r="BE65"/>
      <c r="BF65"/>
      <c r="BG65"/>
      <c r="BH65"/>
      <c r="BI65"/>
      <c r="BJ65"/>
      <c r="BK65"/>
      <c r="BM65"/>
      <c r="BN65"/>
      <c r="BT65" t="s">
        <v>754</v>
      </c>
      <c r="BU65" t="s">
        <v>635</v>
      </c>
      <c r="BV65" t="s">
        <v>642</v>
      </c>
      <c r="BW65" t="s">
        <v>709</v>
      </c>
      <c r="BX65" s="608">
        <v>1</v>
      </c>
      <c r="BY65" t="s">
        <v>697</v>
      </c>
      <c r="BZ65"/>
    </row>
    <row r="66" spans="3:82" x14ac:dyDescent="0.35">
      <c r="C66" s="608" t="s">
        <v>1429</v>
      </c>
      <c r="D66" s="608" t="s">
        <v>1429</v>
      </c>
      <c r="F66" s="608" t="s">
        <v>658</v>
      </c>
      <c r="G66" s="608" t="s">
        <v>664</v>
      </c>
      <c r="H66" s="608" t="s">
        <v>709</v>
      </c>
      <c r="I66" s="608" t="s">
        <v>1429</v>
      </c>
      <c r="K66"/>
      <c r="M66"/>
      <c r="O66"/>
      <c r="P66"/>
      <c r="Q66"/>
      <c r="R66"/>
      <c r="S66"/>
      <c r="T66"/>
      <c r="U66"/>
      <c r="V66"/>
      <c r="W66"/>
      <c r="X66"/>
      <c r="Y66"/>
      <c r="Z66"/>
      <c r="AA66"/>
      <c r="AB66"/>
      <c r="AC66"/>
      <c r="AD66"/>
      <c r="AE66"/>
      <c r="AF66"/>
      <c r="AG66"/>
      <c r="AH66"/>
      <c r="AI66"/>
      <c r="AJ66"/>
      <c r="AK66"/>
      <c r="AQ66"/>
      <c r="AR66"/>
      <c r="AS66"/>
      <c r="AT66"/>
      <c r="AU66"/>
      <c r="AV66"/>
      <c r="AW66"/>
      <c r="AX66"/>
      <c r="AY66"/>
      <c r="AZ66"/>
      <c r="BA66"/>
      <c r="BB66"/>
      <c r="BC66"/>
      <c r="BD66"/>
      <c r="BE66"/>
      <c r="BF66"/>
      <c r="BG66"/>
      <c r="BH66"/>
      <c r="BI66"/>
      <c r="BJ66"/>
      <c r="BK66"/>
      <c r="BM66"/>
      <c r="BN66"/>
      <c r="BT66" t="s">
        <v>801</v>
      </c>
      <c r="BU66" t="s">
        <v>635</v>
      </c>
      <c r="BV66" t="s">
        <v>642</v>
      </c>
      <c r="BW66"/>
      <c r="BX66" s="608">
        <v>1</v>
      </c>
      <c r="BY66" t="s">
        <v>697</v>
      </c>
      <c r="BZ66"/>
    </row>
    <row r="67" spans="3:82" x14ac:dyDescent="0.35">
      <c r="C67" s="608" t="s">
        <v>1430</v>
      </c>
      <c r="D67" s="608" t="s">
        <v>1430</v>
      </c>
      <c r="F67" s="608" t="s">
        <v>658</v>
      </c>
      <c r="G67" s="608" t="s">
        <v>664</v>
      </c>
      <c r="H67" s="608" t="s">
        <v>709</v>
      </c>
      <c r="I67" s="608" t="s">
        <v>1430</v>
      </c>
      <c r="K67"/>
      <c r="M67"/>
      <c r="O67"/>
      <c r="P67"/>
      <c r="Q67"/>
      <c r="R67"/>
      <c r="S67"/>
      <c r="T67"/>
      <c r="U67"/>
      <c r="V67"/>
      <c r="W67"/>
      <c r="X67"/>
      <c r="Y67"/>
      <c r="Z67"/>
      <c r="AA67"/>
      <c r="AB67"/>
      <c r="AC67"/>
      <c r="AD67"/>
      <c r="AE67"/>
      <c r="AF67"/>
      <c r="AG67"/>
      <c r="AH67"/>
      <c r="AI67"/>
      <c r="AJ67"/>
      <c r="AK67"/>
      <c r="AQ67"/>
      <c r="AR67"/>
      <c r="AS67"/>
      <c r="AT67"/>
      <c r="AU67"/>
      <c r="AV67"/>
      <c r="AW67"/>
      <c r="AX67"/>
      <c r="AY67"/>
      <c r="AZ67"/>
      <c r="BA67"/>
      <c r="BB67"/>
      <c r="BC67"/>
      <c r="BD67"/>
      <c r="BE67"/>
      <c r="BF67"/>
      <c r="BG67"/>
      <c r="BH67"/>
      <c r="BI67"/>
      <c r="BJ67"/>
      <c r="BK67"/>
      <c r="BM67"/>
      <c r="BN67"/>
      <c r="BT67" t="s">
        <v>642</v>
      </c>
      <c r="BU67" t="s">
        <v>635</v>
      </c>
      <c r="BV67" t="s">
        <v>642</v>
      </c>
      <c r="BW67" t="s">
        <v>709</v>
      </c>
      <c r="BX67" s="608">
        <v>1</v>
      </c>
      <c r="BY67" t="s">
        <v>697</v>
      </c>
      <c r="BZ67"/>
    </row>
    <row r="68" spans="3:82" x14ac:dyDescent="0.35">
      <c r="C68" s="608" t="s">
        <v>1431</v>
      </c>
      <c r="D68" s="608" t="s">
        <v>1431</v>
      </c>
      <c r="F68" s="608" t="s">
        <v>658</v>
      </c>
      <c r="G68" s="608" t="s">
        <v>664</v>
      </c>
      <c r="H68" s="608" t="s">
        <v>709</v>
      </c>
      <c r="I68" s="608" t="s">
        <v>1431</v>
      </c>
      <c r="K68"/>
      <c r="L68"/>
      <c r="M68"/>
      <c r="N68"/>
      <c r="O68"/>
      <c r="P68"/>
      <c r="Q68"/>
      <c r="R68"/>
      <c r="S68"/>
      <c r="T68"/>
      <c r="U68"/>
      <c r="V68"/>
      <c r="W68"/>
      <c r="X68"/>
      <c r="Y68"/>
      <c r="Z68"/>
      <c r="AA68"/>
      <c r="AB68"/>
      <c r="AC68"/>
      <c r="AD68"/>
      <c r="AE68"/>
      <c r="AF68"/>
      <c r="AG68"/>
      <c r="AH68"/>
      <c r="AI68"/>
      <c r="AJ68"/>
      <c r="AK68"/>
      <c r="AQ68"/>
      <c r="AR68"/>
      <c r="AS68"/>
      <c r="AT68"/>
      <c r="AU68"/>
      <c r="AV68"/>
      <c r="AW68"/>
      <c r="AX68"/>
      <c r="AY68"/>
      <c r="AZ68"/>
      <c r="BA68"/>
      <c r="BB68"/>
      <c r="BC68"/>
      <c r="BD68"/>
      <c r="BE68"/>
      <c r="BF68"/>
      <c r="BG68"/>
      <c r="BH68"/>
      <c r="BI68"/>
      <c r="BJ68"/>
      <c r="BK68"/>
      <c r="BM68"/>
      <c r="BN68"/>
      <c r="BT68" t="s">
        <v>883</v>
      </c>
      <c r="BU68" t="s">
        <v>635</v>
      </c>
      <c r="BV68" t="s">
        <v>642</v>
      </c>
      <c r="BW68" t="s">
        <v>709</v>
      </c>
      <c r="BX68" s="608">
        <v>1</v>
      </c>
      <c r="BY68" t="s">
        <v>697</v>
      </c>
      <c r="BZ68"/>
      <c r="CA68"/>
      <c r="CB68"/>
      <c r="CC68"/>
      <c r="CD68"/>
    </row>
    <row r="69" spans="3:82" x14ac:dyDescent="0.35">
      <c r="C69" s="608" t="s">
        <v>1432</v>
      </c>
      <c r="D69" s="608" t="s">
        <v>1432</v>
      </c>
      <c r="F69" s="608" t="s">
        <v>658</v>
      </c>
      <c r="G69" s="608" t="s">
        <v>664</v>
      </c>
      <c r="H69" s="608" t="s">
        <v>709</v>
      </c>
      <c r="I69" s="608" t="s">
        <v>1432</v>
      </c>
      <c r="K69"/>
      <c r="L69"/>
      <c r="M69"/>
      <c r="N69"/>
      <c r="O69"/>
      <c r="P69"/>
      <c r="Q69"/>
      <c r="R69"/>
      <c r="S69"/>
      <c r="T69"/>
      <c r="U69"/>
      <c r="V69"/>
      <c r="W69"/>
      <c r="X69"/>
      <c r="Y69"/>
      <c r="Z69"/>
      <c r="AA69"/>
      <c r="AB69"/>
      <c r="AC69"/>
      <c r="AD69"/>
      <c r="AE69"/>
      <c r="AF69"/>
      <c r="AG69"/>
      <c r="AH69"/>
      <c r="AI69"/>
      <c r="AJ69"/>
      <c r="AK69"/>
      <c r="AQ69"/>
      <c r="AR69"/>
      <c r="AS69"/>
      <c r="AT69"/>
      <c r="AU69"/>
      <c r="AV69"/>
      <c r="AW69"/>
      <c r="AX69"/>
      <c r="AY69"/>
      <c r="AZ69"/>
      <c r="BA69"/>
      <c r="BB69"/>
      <c r="BC69"/>
      <c r="BD69"/>
      <c r="BE69"/>
      <c r="BF69"/>
      <c r="BG69"/>
      <c r="BH69"/>
      <c r="BI69"/>
      <c r="BJ69"/>
      <c r="BK69"/>
      <c r="BM69"/>
      <c r="BN69"/>
      <c r="BT69" t="s">
        <v>920</v>
      </c>
      <c r="BU69" t="s">
        <v>635</v>
      </c>
      <c r="BV69" t="s">
        <v>642</v>
      </c>
      <c r="BW69" t="s">
        <v>709</v>
      </c>
      <c r="BX69" s="608">
        <v>1</v>
      </c>
      <c r="BY69" t="s">
        <v>697</v>
      </c>
      <c r="BZ69"/>
      <c r="CA69"/>
      <c r="CB69"/>
      <c r="CC69"/>
      <c r="CD69"/>
    </row>
    <row r="70" spans="3:82" x14ac:dyDescent="0.35">
      <c r="C70" s="608" t="s">
        <v>1433</v>
      </c>
      <c r="D70" s="608" t="s">
        <v>1433</v>
      </c>
      <c r="F70" s="608" t="s">
        <v>658</v>
      </c>
      <c r="G70" s="608" t="s">
        <v>664</v>
      </c>
      <c r="H70" s="608" t="s">
        <v>709</v>
      </c>
      <c r="I70" s="608" t="s">
        <v>1433</v>
      </c>
      <c r="K70"/>
      <c r="L70"/>
      <c r="M70"/>
      <c r="N70"/>
      <c r="O70"/>
      <c r="P70"/>
      <c r="Q70"/>
      <c r="R70"/>
      <c r="S70"/>
      <c r="T70"/>
      <c r="U70"/>
      <c r="V70"/>
      <c r="W70"/>
      <c r="X70"/>
      <c r="Y70"/>
      <c r="Z70"/>
      <c r="AA70"/>
      <c r="AB70"/>
      <c r="AC70"/>
      <c r="AD70"/>
      <c r="AE70"/>
      <c r="AF70"/>
      <c r="AG70"/>
      <c r="AH70"/>
      <c r="AI70"/>
      <c r="AJ70"/>
      <c r="AK70"/>
      <c r="AQ70"/>
      <c r="AR70"/>
      <c r="AS70"/>
      <c r="AT70"/>
      <c r="AU70"/>
      <c r="AV70"/>
      <c r="AW70"/>
      <c r="AX70"/>
      <c r="AY70"/>
      <c r="AZ70"/>
      <c r="BA70"/>
      <c r="BB70"/>
      <c r="BC70"/>
      <c r="BD70"/>
      <c r="BE70"/>
      <c r="BF70"/>
      <c r="BG70"/>
      <c r="BH70"/>
      <c r="BI70"/>
      <c r="BJ70"/>
      <c r="BK70"/>
      <c r="BM70"/>
      <c r="BN70"/>
      <c r="BT70" t="s">
        <v>952</v>
      </c>
      <c r="BU70" t="s">
        <v>635</v>
      </c>
      <c r="BV70" t="s">
        <v>642</v>
      </c>
      <c r="BW70"/>
      <c r="BX70" s="608">
        <v>1</v>
      </c>
      <c r="BY70" t="s">
        <v>697</v>
      </c>
      <c r="BZ70"/>
      <c r="CA70"/>
      <c r="CB70"/>
      <c r="CC70"/>
      <c r="CD70"/>
    </row>
    <row r="71" spans="3:82" x14ac:dyDescent="0.35">
      <c r="C71" s="608" t="s">
        <v>1434</v>
      </c>
      <c r="D71" s="608" t="s">
        <v>1434</v>
      </c>
      <c r="F71" s="608" t="s">
        <v>658</v>
      </c>
      <c r="G71" s="608" t="s">
        <v>1435</v>
      </c>
      <c r="H71" s="608" t="s">
        <v>709</v>
      </c>
      <c r="I71" s="608" t="s">
        <v>1434</v>
      </c>
      <c r="K71"/>
      <c r="L71"/>
      <c r="M71"/>
      <c r="N71"/>
      <c r="O71"/>
      <c r="P71"/>
      <c r="Q71"/>
      <c r="R71"/>
      <c r="S71"/>
      <c r="T71"/>
      <c r="U71"/>
      <c r="V71"/>
      <c r="W71"/>
      <c r="X71"/>
      <c r="Y71"/>
      <c r="Z71"/>
      <c r="AA71"/>
      <c r="AB71"/>
      <c r="AC71"/>
      <c r="AD71"/>
      <c r="AE71"/>
      <c r="AF71"/>
      <c r="AG71"/>
      <c r="AH71"/>
      <c r="AI71"/>
      <c r="AJ71"/>
      <c r="AK71"/>
      <c r="AQ71"/>
      <c r="AR71"/>
      <c r="AS71"/>
      <c r="AT71"/>
      <c r="AU71"/>
      <c r="AV71"/>
      <c r="AW71"/>
      <c r="AX71"/>
      <c r="AY71"/>
      <c r="AZ71"/>
      <c r="BA71"/>
      <c r="BB71"/>
      <c r="BC71"/>
      <c r="BD71"/>
      <c r="BE71"/>
      <c r="BF71"/>
      <c r="BG71"/>
      <c r="BH71"/>
      <c r="BI71"/>
      <c r="BJ71"/>
      <c r="BK71"/>
      <c r="BM71"/>
      <c r="BN71"/>
      <c r="BT71" t="s">
        <v>987</v>
      </c>
      <c r="BU71" t="s">
        <v>635</v>
      </c>
      <c r="BV71" t="s">
        <v>642</v>
      </c>
      <c r="BW71" t="s">
        <v>709</v>
      </c>
      <c r="BX71" s="608">
        <v>1</v>
      </c>
      <c r="BY71" t="s">
        <v>697</v>
      </c>
      <c r="BZ71"/>
      <c r="CA71"/>
      <c r="CB71"/>
      <c r="CC71"/>
      <c r="CD71"/>
    </row>
    <row r="72" spans="3:82" x14ac:dyDescent="0.35">
      <c r="C72" s="608" t="s">
        <v>1436</v>
      </c>
      <c r="D72" s="608" t="s">
        <v>1436</v>
      </c>
      <c r="F72" s="608" t="s">
        <v>658</v>
      </c>
      <c r="G72" s="608" t="s">
        <v>1435</v>
      </c>
      <c r="H72" s="608" t="s">
        <v>709</v>
      </c>
      <c r="I72" s="608" t="s">
        <v>1436</v>
      </c>
      <c r="K72"/>
      <c r="L72"/>
      <c r="M72"/>
      <c r="N72"/>
      <c r="O72"/>
      <c r="P72"/>
      <c r="Q72"/>
      <c r="R72"/>
      <c r="S72"/>
      <c r="T72"/>
      <c r="U72"/>
      <c r="V72"/>
      <c r="W72"/>
      <c r="X72"/>
      <c r="Y72"/>
      <c r="Z72"/>
      <c r="AA72"/>
      <c r="AB72"/>
      <c r="AC72"/>
      <c r="AD72"/>
      <c r="AE72"/>
      <c r="AF72"/>
      <c r="AG72"/>
      <c r="AH72"/>
      <c r="AI72"/>
      <c r="AJ72"/>
      <c r="AK72"/>
      <c r="AQ72"/>
      <c r="AR72"/>
      <c r="AS72"/>
      <c r="AT72"/>
      <c r="AU72"/>
      <c r="AV72"/>
      <c r="AW72"/>
      <c r="AX72"/>
      <c r="AY72"/>
      <c r="AZ72"/>
      <c r="BA72"/>
      <c r="BB72"/>
      <c r="BC72"/>
      <c r="BD72"/>
      <c r="BE72"/>
      <c r="BF72"/>
      <c r="BG72"/>
      <c r="BH72"/>
      <c r="BI72"/>
      <c r="BJ72"/>
      <c r="BK72"/>
      <c r="BM72"/>
      <c r="BN72"/>
      <c r="BT72" t="s">
        <v>1019</v>
      </c>
      <c r="BU72" t="s">
        <v>635</v>
      </c>
      <c r="BV72" t="s">
        <v>642</v>
      </c>
      <c r="BW72" t="s">
        <v>709</v>
      </c>
      <c r="BX72" s="608">
        <v>1</v>
      </c>
      <c r="BY72" t="s">
        <v>697</v>
      </c>
      <c r="BZ72"/>
      <c r="CA72"/>
      <c r="CB72"/>
      <c r="CC72"/>
      <c r="CD72"/>
    </row>
    <row r="73" spans="3:82" x14ac:dyDescent="0.35">
      <c r="C73" s="608" t="s">
        <v>1437</v>
      </c>
      <c r="D73" s="608" t="s">
        <v>1437</v>
      </c>
      <c r="F73" s="608" t="s">
        <v>658</v>
      </c>
      <c r="G73" s="608" t="s">
        <v>1435</v>
      </c>
      <c r="H73" s="608" t="s">
        <v>709</v>
      </c>
      <c r="I73" s="608" t="s">
        <v>1437</v>
      </c>
      <c r="K73"/>
      <c r="L73"/>
      <c r="M73"/>
      <c r="N73"/>
      <c r="O73"/>
      <c r="P73"/>
      <c r="Q73"/>
      <c r="R73"/>
      <c r="S73"/>
      <c r="T73"/>
      <c r="U73"/>
      <c r="V73"/>
      <c r="W73"/>
      <c r="X73"/>
      <c r="Y73"/>
      <c r="Z73"/>
      <c r="AA73"/>
      <c r="AB73"/>
      <c r="AC73"/>
      <c r="AD73"/>
      <c r="AE73"/>
      <c r="AF73"/>
      <c r="AG73"/>
      <c r="AH73"/>
      <c r="AI73"/>
      <c r="AJ73"/>
      <c r="AK73"/>
      <c r="AQ73"/>
      <c r="AR73"/>
      <c r="AS73"/>
      <c r="AT73"/>
      <c r="AU73"/>
      <c r="AV73"/>
      <c r="AW73"/>
      <c r="AX73"/>
      <c r="AY73"/>
      <c r="AZ73"/>
      <c r="BA73"/>
      <c r="BB73"/>
      <c r="BC73"/>
      <c r="BD73"/>
      <c r="BE73"/>
      <c r="BF73"/>
      <c r="BG73"/>
      <c r="BH73"/>
      <c r="BI73"/>
      <c r="BJ73"/>
      <c r="BK73"/>
      <c r="BL73"/>
      <c r="BM73"/>
      <c r="BN73"/>
      <c r="BT73" t="s">
        <v>1052</v>
      </c>
      <c r="BU73" t="s">
        <v>635</v>
      </c>
      <c r="BV73" t="s">
        <v>642</v>
      </c>
      <c r="BW73" t="s">
        <v>709</v>
      </c>
      <c r="BX73" s="608">
        <v>1</v>
      </c>
      <c r="BY73" t="s">
        <v>697</v>
      </c>
      <c r="BZ73"/>
      <c r="CA73"/>
      <c r="CB73"/>
      <c r="CC73"/>
      <c r="CD73"/>
    </row>
    <row r="74" spans="3:82" x14ac:dyDescent="0.35">
      <c r="C74" s="608" t="s">
        <v>1438</v>
      </c>
      <c r="D74" s="608" t="s">
        <v>1438</v>
      </c>
      <c r="F74" s="608" t="s">
        <v>658</v>
      </c>
      <c r="G74" s="608" t="s">
        <v>1435</v>
      </c>
      <c r="H74" s="608" t="s">
        <v>709</v>
      </c>
      <c r="I74" s="608" t="s">
        <v>1438</v>
      </c>
      <c r="K74"/>
      <c r="L74"/>
      <c r="M74"/>
      <c r="N74"/>
      <c r="O74"/>
      <c r="P74"/>
      <c r="Q74"/>
      <c r="R74"/>
      <c r="S74"/>
      <c r="T74"/>
      <c r="U74"/>
      <c r="V74"/>
      <c r="W74"/>
      <c r="X74"/>
      <c r="Y74"/>
      <c r="Z74"/>
      <c r="AA74"/>
      <c r="AB74"/>
      <c r="AC74"/>
      <c r="AD74"/>
      <c r="AE74"/>
      <c r="AF74"/>
      <c r="AG74"/>
      <c r="AH74"/>
      <c r="AI74"/>
      <c r="AJ74"/>
      <c r="AK74"/>
      <c r="AQ74"/>
      <c r="AR74"/>
      <c r="AS74"/>
      <c r="AT74"/>
      <c r="AU74"/>
      <c r="AV74"/>
      <c r="AW74"/>
      <c r="AX74"/>
      <c r="AY74"/>
      <c r="AZ74"/>
      <c r="BA74"/>
      <c r="BB74"/>
      <c r="BC74"/>
      <c r="BD74"/>
      <c r="BE74"/>
      <c r="BF74"/>
      <c r="BG74"/>
      <c r="BH74"/>
      <c r="BI74"/>
      <c r="BJ74"/>
      <c r="BK74"/>
      <c r="BL74"/>
      <c r="BM74"/>
      <c r="BN74"/>
      <c r="BT74" t="s">
        <v>1085</v>
      </c>
      <c r="BU74" t="s">
        <v>635</v>
      </c>
      <c r="BV74" t="s">
        <v>642</v>
      </c>
      <c r="BW74" t="s">
        <v>709</v>
      </c>
      <c r="BX74" s="608">
        <v>1</v>
      </c>
      <c r="BY74" t="s">
        <v>697</v>
      </c>
      <c r="BZ74"/>
      <c r="CA74"/>
      <c r="CB74"/>
      <c r="CC74"/>
      <c r="CD74"/>
    </row>
    <row r="75" spans="3:82" x14ac:dyDescent="0.35">
      <c r="C75" s="608" t="s">
        <v>666</v>
      </c>
      <c r="D75" s="608" t="s">
        <v>666</v>
      </c>
      <c r="F75" s="608" t="s">
        <v>665</v>
      </c>
      <c r="G75" s="608" t="s">
        <v>666</v>
      </c>
      <c r="H75" s="608" t="s">
        <v>709</v>
      </c>
      <c r="I75" s="608" t="s">
        <v>666</v>
      </c>
      <c r="K75"/>
      <c r="L75"/>
      <c r="M75"/>
      <c r="N75"/>
      <c r="O75"/>
      <c r="P75"/>
      <c r="Q75"/>
      <c r="R75"/>
      <c r="S75"/>
      <c r="T75"/>
      <c r="U75"/>
      <c r="V75"/>
      <c r="W75"/>
      <c r="X75"/>
      <c r="Y75"/>
      <c r="Z75"/>
      <c r="AA75"/>
      <c r="AB75"/>
      <c r="AC75"/>
      <c r="AD75"/>
      <c r="AE75"/>
      <c r="AF75"/>
      <c r="AG75"/>
      <c r="AH75"/>
      <c r="AI75"/>
      <c r="AJ75"/>
      <c r="AK75"/>
      <c r="AQ75"/>
      <c r="AR75"/>
      <c r="AS75"/>
      <c r="AT75"/>
      <c r="AU75"/>
      <c r="AV75"/>
      <c r="AW75"/>
      <c r="AX75"/>
      <c r="AY75"/>
      <c r="AZ75"/>
      <c r="BA75"/>
      <c r="BB75"/>
      <c r="BC75"/>
      <c r="BD75"/>
      <c r="BE75"/>
      <c r="BF75"/>
      <c r="BG75"/>
      <c r="BH75"/>
      <c r="BI75"/>
      <c r="BJ75"/>
      <c r="BK75"/>
      <c r="BL75"/>
      <c r="BM75"/>
      <c r="BN75"/>
      <c r="BT75" t="s">
        <v>1118</v>
      </c>
      <c r="BU75" t="s">
        <v>635</v>
      </c>
      <c r="BV75" t="s">
        <v>642</v>
      </c>
      <c r="BW75" t="s">
        <v>709</v>
      </c>
      <c r="BX75" s="608">
        <v>1</v>
      </c>
      <c r="BY75" t="s">
        <v>697</v>
      </c>
      <c r="BZ75"/>
      <c r="CA75"/>
      <c r="CB75"/>
      <c r="CC75"/>
      <c r="CD75"/>
    </row>
    <row r="76" spans="3:82" x14ac:dyDescent="0.35">
      <c r="C76" s="608" t="s">
        <v>1439</v>
      </c>
      <c r="D76" s="608" t="s">
        <v>1439</v>
      </c>
      <c r="F76" s="608" t="s">
        <v>665</v>
      </c>
      <c r="G76" s="608" t="s">
        <v>667</v>
      </c>
      <c r="H76" s="608" t="s">
        <v>709</v>
      </c>
      <c r="I76" s="608" t="s">
        <v>1439</v>
      </c>
      <c r="K76"/>
      <c r="L76"/>
      <c r="M76"/>
      <c r="N76"/>
      <c r="O76"/>
      <c r="P76"/>
      <c r="Q76"/>
      <c r="R76"/>
      <c r="S76"/>
      <c r="T76"/>
      <c r="U76"/>
      <c r="V76"/>
      <c r="W76"/>
      <c r="X76"/>
      <c r="Y76"/>
      <c r="Z76"/>
      <c r="AA76"/>
      <c r="AB76"/>
      <c r="AC76"/>
      <c r="AD76"/>
      <c r="AE76"/>
      <c r="AF76"/>
      <c r="AG76"/>
      <c r="AH76"/>
      <c r="AI76"/>
      <c r="AJ76"/>
      <c r="AK76"/>
      <c r="AQ76"/>
      <c r="AR76"/>
      <c r="AS76"/>
      <c r="AT76"/>
      <c r="AU76"/>
      <c r="AV76"/>
      <c r="AW76"/>
      <c r="AX76"/>
      <c r="AY76"/>
      <c r="AZ76"/>
      <c r="BA76"/>
      <c r="BB76"/>
      <c r="BC76"/>
      <c r="BD76"/>
      <c r="BE76"/>
      <c r="BF76"/>
      <c r="BG76"/>
      <c r="BH76"/>
      <c r="BI76"/>
      <c r="BJ76"/>
      <c r="BK76"/>
      <c r="BL76"/>
      <c r="BM76"/>
      <c r="BN76"/>
      <c r="BT76" t="s">
        <v>1145</v>
      </c>
      <c r="BU76" t="s">
        <v>635</v>
      </c>
      <c r="BV76" t="s">
        <v>642</v>
      </c>
      <c r="BW76" t="s">
        <v>709</v>
      </c>
      <c r="BX76" s="608">
        <v>1</v>
      </c>
      <c r="BY76" t="s">
        <v>697</v>
      </c>
      <c r="BZ76"/>
      <c r="CA76"/>
      <c r="CB76"/>
      <c r="CC76"/>
      <c r="CD76"/>
    </row>
    <row r="77" spans="3:82" x14ac:dyDescent="0.35">
      <c r="C77" s="608" t="s">
        <v>719</v>
      </c>
      <c r="D77" s="608" t="s">
        <v>719</v>
      </c>
      <c r="F77" s="608" t="s">
        <v>665</v>
      </c>
      <c r="G77" s="608" t="s">
        <v>667</v>
      </c>
      <c r="H77" s="608" t="s">
        <v>709</v>
      </c>
      <c r="I77" s="608" t="s">
        <v>719</v>
      </c>
      <c r="K77"/>
      <c r="L77"/>
      <c r="M77"/>
      <c r="N77"/>
      <c r="O77"/>
      <c r="P77"/>
      <c r="Q77"/>
      <c r="R77"/>
      <c r="S77"/>
      <c r="T77"/>
      <c r="U77"/>
      <c r="V77"/>
      <c r="W77"/>
      <c r="X77"/>
      <c r="Y77"/>
      <c r="Z77"/>
      <c r="AA77"/>
      <c r="AB77"/>
      <c r="AC77"/>
      <c r="AD77"/>
      <c r="AE77"/>
      <c r="AF77"/>
      <c r="AG77"/>
      <c r="AH77"/>
      <c r="AI77"/>
      <c r="AJ77"/>
      <c r="AK77"/>
      <c r="AQ77"/>
      <c r="AR77"/>
      <c r="AS77"/>
      <c r="AT77"/>
      <c r="AU77"/>
      <c r="AV77"/>
      <c r="AW77"/>
      <c r="AX77"/>
      <c r="AY77"/>
      <c r="AZ77"/>
      <c r="BA77"/>
      <c r="BB77"/>
      <c r="BC77"/>
      <c r="BD77"/>
      <c r="BE77"/>
      <c r="BF77"/>
      <c r="BG77"/>
      <c r="BH77"/>
      <c r="BI77"/>
      <c r="BJ77"/>
      <c r="BK77"/>
      <c r="BL77"/>
      <c r="BM77"/>
      <c r="BN77"/>
      <c r="BT77" t="s">
        <v>1169</v>
      </c>
      <c r="BU77" t="s">
        <v>635</v>
      </c>
      <c r="BV77" t="s">
        <v>642</v>
      </c>
      <c r="BW77" t="s">
        <v>709</v>
      </c>
      <c r="BX77" s="608">
        <v>1</v>
      </c>
      <c r="BY77" t="s">
        <v>697</v>
      </c>
      <c r="BZ77"/>
      <c r="CA77"/>
      <c r="CB77"/>
      <c r="CC77"/>
      <c r="CD77"/>
    </row>
    <row r="78" spans="3:82" x14ac:dyDescent="0.35">
      <c r="C78" s="608" t="s">
        <v>816</v>
      </c>
      <c r="D78" s="608" t="s">
        <v>816</v>
      </c>
      <c r="F78" s="608" t="s">
        <v>665</v>
      </c>
      <c r="G78" s="608" t="s">
        <v>667</v>
      </c>
      <c r="H78" s="608" t="s">
        <v>709</v>
      </c>
      <c r="I78" s="608" t="s">
        <v>816</v>
      </c>
      <c r="K78"/>
      <c r="L78"/>
      <c r="M78"/>
      <c r="N78"/>
      <c r="O78"/>
      <c r="P78"/>
      <c r="Q78"/>
      <c r="R78"/>
      <c r="S78"/>
      <c r="T78"/>
      <c r="U78"/>
      <c r="V78"/>
      <c r="W78"/>
      <c r="X78"/>
      <c r="Y78"/>
      <c r="Z78"/>
      <c r="AA78"/>
      <c r="AB78"/>
      <c r="AC78"/>
      <c r="AD78"/>
      <c r="AE78"/>
      <c r="AF78"/>
      <c r="AG78"/>
      <c r="AH78"/>
      <c r="AI78"/>
      <c r="AJ78"/>
      <c r="AK78"/>
      <c r="AQ78"/>
      <c r="AR78"/>
      <c r="AS78"/>
      <c r="AT78"/>
      <c r="AU78"/>
      <c r="AV78"/>
      <c r="AW78"/>
      <c r="AX78"/>
      <c r="AY78"/>
      <c r="AZ78"/>
      <c r="BA78"/>
      <c r="BB78"/>
      <c r="BC78"/>
      <c r="BD78"/>
      <c r="BE78"/>
      <c r="BF78"/>
      <c r="BG78"/>
      <c r="BH78"/>
      <c r="BI78"/>
      <c r="BJ78"/>
      <c r="BK78"/>
      <c r="BL78"/>
      <c r="BM78"/>
      <c r="BN78"/>
      <c r="BT78" t="s">
        <v>1193</v>
      </c>
      <c r="BU78" t="s">
        <v>635</v>
      </c>
      <c r="BV78" t="s">
        <v>642</v>
      </c>
      <c r="BW78"/>
      <c r="BX78" s="608">
        <v>1</v>
      </c>
      <c r="BY78" t="s">
        <v>697</v>
      </c>
      <c r="BZ78"/>
      <c r="CA78"/>
      <c r="CB78"/>
      <c r="CC78"/>
      <c r="CD78"/>
    </row>
    <row r="79" spans="3:82" x14ac:dyDescent="0.35">
      <c r="C79" s="608" t="s">
        <v>858</v>
      </c>
      <c r="D79" s="608" t="s">
        <v>858</v>
      </c>
      <c r="F79" s="608" t="s">
        <v>665</v>
      </c>
      <c r="G79" s="608" t="s">
        <v>667</v>
      </c>
      <c r="H79" s="608" t="s">
        <v>709</v>
      </c>
      <c r="I79" s="608" t="s">
        <v>858</v>
      </c>
      <c r="K79"/>
      <c r="L79"/>
      <c r="M79"/>
      <c r="N79"/>
      <c r="O79"/>
      <c r="P79"/>
      <c r="Q79"/>
      <c r="R79"/>
      <c r="S79"/>
      <c r="T79"/>
      <c r="U79"/>
      <c r="V79"/>
      <c r="W79"/>
      <c r="X79"/>
      <c r="Y79"/>
      <c r="Z79"/>
      <c r="AA79"/>
      <c r="AB79"/>
      <c r="AC79"/>
      <c r="AD79"/>
      <c r="AE79"/>
      <c r="AF79"/>
      <c r="AG79"/>
      <c r="AH79"/>
      <c r="AI79"/>
      <c r="AJ79"/>
      <c r="AK79"/>
      <c r="AQ79"/>
      <c r="AR79"/>
      <c r="AS79"/>
      <c r="AT79"/>
      <c r="AU79"/>
      <c r="AV79"/>
      <c r="AW79"/>
      <c r="AX79"/>
      <c r="AY79"/>
      <c r="AZ79"/>
      <c r="BA79"/>
      <c r="BB79"/>
      <c r="BC79"/>
      <c r="BD79"/>
      <c r="BE79"/>
      <c r="BF79"/>
      <c r="BG79"/>
      <c r="BH79"/>
      <c r="BI79"/>
      <c r="BJ79"/>
      <c r="BK79"/>
      <c r="BL79"/>
      <c r="BM79"/>
      <c r="BN79"/>
      <c r="BT79" t="s">
        <v>1212</v>
      </c>
      <c r="BU79" t="s">
        <v>635</v>
      </c>
      <c r="BV79" t="s">
        <v>642</v>
      </c>
      <c r="BW79"/>
      <c r="BX79" s="608">
        <v>1</v>
      </c>
      <c r="BY79" t="s">
        <v>697</v>
      </c>
      <c r="BZ79"/>
      <c r="CA79"/>
      <c r="CB79"/>
      <c r="CC79"/>
      <c r="CD79"/>
    </row>
    <row r="80" spans="3:82" x14ac:dyDescent="0.35">
      <c r="C80" s="608" t="s">
        <v>896</v>
      </c>
      <c r="D80" s="608" t="s">
        <v>896</v>
      </c>
      <c r="F80" s="608" t="s">
        <v>665</v>
      </c>
      <c r="G80" s="608" t="s">
        <v>667</v>
      </c>
      <c r="H80" s="608" t="s">
        <v>709</v>
      </c>
      <c r="I80" s="608" t="s">
        <v>896</v>
      </c>
      <c r="K80"/>
      <c r="L80"/>
      <c r="M80"/>
      <c r="N80"/>
      <c r="O80"/>
      <c r="P80"/>
      <c r="Q80"/>
      <c r="R80"/>
      <c r="S80"/>
      <c r="T80"/>
      <c r="U80"/>
      <c r="V80"/>
      <c r="W80"/>
      <c r="X80"/>
      <c r="Y80"/>
      <c r="Z80"/>
      <c r="AA80"/>
      <c r="AB80"/>
      <c r="AC80"/>
      <c r="AD80"/>
      <c r="AE80"/>
      <c r="AF80"/>
      <c r="AG80"/>
      <c r="AH80"/>
      <c r="AI80"/>
      <c r="AJ80"/>
      <c r="AK80"/>
      <c r="AQ80"/>
      <c r="AR80"/>
      <c r="AS80"/>
      <c r="AT80"/>
      <c r="AU80"/>
      <c r="AV80"/>
      <c r="AW80"/>
      <c r="AX80"/>
      <c r="AY80"/>
      <c r="AZ80"/>
      <c r="BA80"/>
      <c r="BB80"/>
      <c r="BC80"/>
      <c r="BD80"/>
      <c r="BE80"/>
      <c r="BF80"/>
      <c r="BG80"/>
      <c r="BH80"/>
      <c r="BI80"/>
      <c r="BJ80"/>
      <c r="BK80"/>
      <c r="BL80"/>
      <c r="BM80"/>
      <c r="BN80"/>
      <c r="BT80" t="s">
        <v>1233</v>
      </c>
      <c r="BU80" t="s">
        <v>635</v>
      </c>
      <c r="BV80" t="s">
        <v>642</v>
      </c>
      <c r="BW80"/>
      <c r="BX80" s="608">
        <v>1</v>
      </c>
      <c r="BY80" t="s">
        <v>697</v>
      </c>
      <c r="BZ80"/>
      <c r="CA80"/>
      <c r="CB80"/>
      <c r="CC80"/>
      <c r="CD80"/>
    </row>
    <row r="81" spans="3:82" x14ac:dyDescent="0.35">
      <c r="C81" s="608" t="s">
        <v>933</v>
      </c>
      <c r="D81" s="608" t="s">
        <v>933</v>
      </c>
      <c r="F81" s="608" t="s">
        <v>665</v>
      </c>
      <c r="G81" s="608" t="s">
        <v>667</v>
      </c>
      <c r="H81" s="608" t="s">
        <v>709</v>
      </c>
      <c r="I81" s="608" t="s">
        <v>933</v>
      </c>
      <c r="K81"/>
      <c r="L81"/>
      <c r="M81"/>
      <c r="N81"/>
      <c r="O81"/>
      <c r="P81"/>
      <c r="Q81"/>
      <c r="R81"/>
      <c r="S81"/>
      <c r="T81"/>
      <c r="U81"/>
      <c r="V81"/>
      <c r="W81"/>
      <c r="X81"/>
      <c r="Y81"/>
      <c r="Z81"/>
      <c r="AA81"/>
      <c r="AB81"/>
      <c r="AC81"/>
      <c r="AD81"/>
      <c r="AE81"/>
      <c r="AF81"/>
      <c r="AG81"/>
      <c r="AH81"/>
      <c r="AI81"/>
      <c r="AJ81"/>
      <c r="AK81"/>
      <c r="AQ81"/>
      <c r="AR81"/>
      <c r="AS81"/>
      <c r="AT81"/>
      <c r="AU81"/>
      <c r="AV81"/>
      <c r="AW81"/>
      <c r="AX81"/>
      <c r="AY81"/>
      <c r="AZ81"/>
      <c r="BA81"/>
      <c r="BB81"/>
      <c r="BC81"/>
      <c r="BD81"/>
      <c r="BE81"/>
      <c r="BF81"/>
      <c r="BG81"/>
      <c r="BH81"/>
      <c r="BI81"/>
      <c r="BJ81"/>
      <c r="BK81"/>
      <c r="BL81"/>
      <c r="BM81"/>
      <c r="BN81"/>
      <c r="BT81" t="s">
        <v>1255</v>
      </c>
      <c r="BU81" t="s">
        <v>635</v>
      </c>
      <c r="BV81" t="s">
        <v>642</v>
      </c>
      <c r="BW81"/>
      <c r="BX81" s="608">
        <v>1</v>
      </c>
      <c r="BY81" t="s">
        <v>697</v>
      </c>
      <c r="BZ81"/>
      <c r="CA81"/>
      <c r="CB81"/>
      <c r="CC81"/>
      <c r="CD81"/>
    </row>
    <row r="82" spans="3:82" x14ac:dyDescent="0.35">
      <c r="C82" s="608" t="s">
        <v>965</v>
      </c>
      <c r="D82" s="608" t="s">
        <v>965</v>
      </c>
      <c r="F82" s="608" t="s">
        <v>665</v>
      </c>
      <c r="G82" s="608" t="s">
        <v>667</v>
      </c>
      <c r="H82" s="608" t="s">
        <v>709</v>
      </c>
      <c r="I82" s="608" t="s">
        <v>965</v>
      </c>
      <c r="K82"/>
      <c r="L82"/>
      <c r="M82"/>
      <c r="N82"/>
      <c r="O82"/>
      <c r="P82"/>
      <c r="Q82"/>
      <c r="R82"/>
      <c r="S82"/>
      <c r="T82"/>
      <c r="U82"/>
      <c r="V82"/>
      <c r="W82"/>
      <c r="X82"/>
      <c r="Y82"/>
      <c r="Z82"/>
      <c r="AA82"/>
      <c r="AB82"/>
      <c r="AC82"/>
      <c r="AK82"/>
      <c r="AQ82"/>
      <c r="AR82"/>
      <c r="AS82"/>
      <c r="AT82"/>
      <c r="AU82"/>
      <c r="AV82"/>
      <c r="AW82"/>
      <c r="AX82"/>
      <c r="AY82"/>
      <c r="AZ82"/>
      <c r="BA82"/>
      <c r="BB82"/>
      <c r="BC82"/>
      <c r="BD82"/>
      <c r="BE82"/>
      <c r="BF82"/>
      <c r="BG82"/>
      <c r="BH82"/>
      <c r="BI82"/>
      <c r="BJ82"/>
      <c r="BK82"/>
      <c r="BL82"/>
      <c r="BM82"/>
      <c r="BN82"/>
      <c r="BT82" t="s">
        <v>1268</v>
      </c>
      <c r="BU82" t="s">
        <v>635</v>
      </c>
      <c r="BV82" t="s">
        <v>642</v>
      </c>
      <c r="BW82" t="s">
        <v>709</v>
      </c>
      <c r="BX82" s="608">
        <v>1</v>
      </c>
      <c r="BY82" t="s">
        <v>697</v>
      </c>
      <c r="BZ82"/>
      <c r="CA82"/>
      <c r="CB82"/>
      <c r="CC82"/>
      <c r="CD82"/>
    </row>
    <row r="83" spans="3:82" x14ac:dyDescent="0.35">
      <c r="C83" s="608" t="s">
        <v>1000</v>
      </c>
      <c r="D83" s="608" t="s">
        <v>1000</v>
      </c>
      <c r="F83" s="608" t="s">
        <v>665</v>
      </c>
      <c r="G83" s="608" t="s">
        <v>667</v>
      </c>
      <c r="H83" s="608" t="s">
        <v>709</v>
      </c>
      <c r="I83" s="608" t="s">
        <v>1000</v>
      </c>
      <c r="K83"/>
      <c r="L83"/>
      <c r="M83"/>
      <c r="N83"/>
      <c r="O83"/>
      <c r="P83"/>
      <c r="Q83"/>
      <c r="R83"/>
      <c r="S83"/>
      <c r="T83"/>
      <c r="U83"/>
      <c r="V83"/>
      <c r="W83"/>
      <c r="X83"/>
      <c r="Y83"/>
      <c r="Z83"/>
      <c r="AA83"/>
      <c r="AB83"/>
      <c r="AC83"/>
      <c r="AK83"/>
      <c r="AQ83"/>
      <c r="AR83"/>
      <c r="AS83"/>
      <c r="AT83"/>
      <c r="AU83"/>
      <c r="AV83"/>
      <c r="AW83"/>
      <c r="AX83"/>
      <c r="AY83"/>
      <c r="AZ83"/>
      <c r="BA83"/>
      <c r="BB83"/>
      <c r="BC83"/>
      <c r="BD83"/>
      <c r="BE83"/>
      <c r="BF83"/>
      <c r="BG83"/>
      <c r="BH83"/>
      <c r="BI83"/>
      <c r="BJ83"/>
      <c r="BK83"/>
      <c r="BL83"/>
      <c r="BM83"/>
      <c r="BN83"/>
      <c r="BT83" t="s">
        <v>1283</v>
      </c>
      <c r="BU83" t="s">
        <v>635</v>
      </c>
      <c r="BV83" t="s">
        <v>642</v>
      </c>
      <c r="BW83" t="s">
        <v>709</v>
      </c>
      <c r="BX83" s="608">
        <v>1</v>
      </c>
      <c r="BY83" t="s">
        <v>697</v>
      </c>
      <c r="BZ83"/>
      <c r="CA83"/>
      <c r="CB83"/>
      <c r="CC83"/>
      <c r="CD83"/>
    </row>
    <row r="84" spans="3:82" x14ac:dyDescent="0.35">
      <c r="C84" s="608" t="s">
        <v>1440</v>
      </c>
      <c r="D84" s="608" t="s">
        <v>1440</v>
      </c>
      <c r="F84" s="608" t="s">
        <v>665</v>
      </c>
      <c r="G84" s="608" t="s">
        <v>667</v>
      </c>
      <c r="H84" s="608" t="s">
        <v>709</v>
      </c>
      <c r="I84" s="608" t="s">
        <v>1440</v>
      </c>
      <c r="K84"/>
      <c r="L84"/>
      <c r="M84"/>
      <c r="N84"/>
      <c r="O84"/>
      <c r="P84"/>
      <c r="Q84"/>
      <c r="R84"/>
      <c r="S84"/>
      <c r="T84"/>
      <c r="U84"/>
      <c r="V84"/>
      <c r="W84"/>
      <c r="X84"/>
      <c r="Y84"/>
      <c r="Z84"/>
      <c r="AA84"/>
      <c r="AB84"/>
      <c r="AC84"/>
      <c r="AK84"/>
      <c r="AQ84"/>
      <c r="AR84"/>
      <c r="AS84"/>
      <c r="AT84"/>
      <c r="AU84"/>
      <c r="AV84"/>
      <c r="AW84"/>
      <c r="AX84"/>
      <c r="AY84"/>
      <c r="AZ84"/>
      <c r="BA84"/>
      <c r="BB84"/>
      <c r="BC84"/>
      <c r="BD84"/>
      <c r="BE84"/>
      <c r="BF84"/>
      <c r="BG84"/>
      <c r="BH84"/>
      <c r="BI84"/>
      <c r="BJ84"/>
      <c r="BK84"/>
      <c r="BL84"/>
      <c r="BM84"/>
      <c r="BN84"/>
      <c r="BT84" t="s">
        <v>1299</v>
      </c>
      <c r="BU84" t="s">
        <v>635</v>
      </c>
      <c r="BV84" t="s">
        <v>642</v>
      </c>
      <c r="BW84" t="s">
        <v>709</v>
      </c>
      <c r="BX84" s="608">
        <v>1</v>
      </c>
      <c r="BY84" t="s">
        <v>697</v>
      </c>
      <c r="BZ84"/>
      <c r="CA84"/>
      <c r="CB84"/>
      <c r="CC84"/>
      <c r="CD84"/>
    </row>
    <row r="85" spans="3:82" x14ac:dyDescent="0.35">
      <c r="C85" s="608" t="s">
        <v>1032</v>
      </c>
      <c r="D85" s="608" t="s">
        <v>1032</v>
      </c>
      <c r="F85" s="608" t="s">
        <v>665</v>
      </c>
      <c r="G85" s="608" t="s">
        <v>667</v>
      </c>
      <c r="H85" s="608" t="s">
        <v>709</v>
      </c>
      <c r="I85" s="608" t="s">
        <v>1032</v>
      </c>
      <c r="K85"/>
      <c r="L85"/>
      <c r="M85"/>
      <c r="N85"/>
      <c r="O85"/>
      <c r="P85"/>
      <c r="Q85"/>
      <c r="R85"/>
      <c r="S85"/>
      <c r="T85"/>
      <c r="U85"/>
      <c r="V85"/>
      <c r="W85"/>
      <c r="X85"/>
      <c r="Y85"/>
      <c r="Z85"/>
      <c r="AA85"/>
      <c r="AB85"/>
      <c r="AC85"/>
      <c r="AK85"/>
      <c r="AQ85"/>
      <c r="AR85"/>
      <c r="AS85"/>
      <c r="AT85"/>
      <c r="AU85"/>
      <c r="AV85"/>
      <c r="AW85"/>
      <c r="AX85"/>
      <c r="AY85"/>
      <c r="AZ85"/>
      <c r="BA85"/>
      <c r="BB85"/>
      <c r="BC85"/>
      <c r="BD85"/>
      <c r="BE85"/>
      <c r="BF85"/>
      <c r="BG85"/>
      <c r="BH85"/>
      <c r="BI85"/>
      <c r="BJ85"/>
      <c r="BK85"/>
      <c r="BL85"/>
      <c r="BM85"/>
      <c r="BN85"/>
      <c r="BT85" t="s">
        <v>1317</v>
      </c>
      <c r="BU85" t="s">
        <v>635</v>
      </c>
      <c r="BV85" t="s">
        <v>642</v>
      </c>
      <c r="BW85" t="s">
        <v>709</v>
      </c>
      <c r="BX85" s="608">
        <v>1</v>
      </c>
      <c r="BY85" t="s">
        <v>697</v>
      </c>
      <c r="BZ85"/>
      <c r="CA85"/>
      <c r="CB85"/>
      <c r="CC85"/>
      <c r="CD85"/>
    </row>
    <row r="86" spans="3:82" x14ac:dyDescent="0.35">
      <c r="C86" s="608" t="s">
        <v>1097</v>
      </c>
      <c r="D86" s="608" t="s">
        <v>1097</v>
      </c>
      <c r="F86" s="608" t="s">
        <v>665</v>
      </c>
      <c r="G86" s="608" t="s">
        <v>667</v>
      </c>
      <c r="H86" s="608" t="s">
        <v>709</v>
      </c>
      <c r="I86" s="608" t="s">
        <v>1097</v>
      </c>
      <c r="K86"/>
      <c r="L86"/>
      <c r="M86"/>
      <c r="N86"/>
      <c r="O86"/>
      <c r="P86"/>
      <c r="Q86"/>
      <c r="R86"/>
      <c r="S86"/>
      <c r="T86"/>
      <c r="U86"/>
      <c r="V86"/>
      <c r="W86"/>
      <c r="X86"/>
      <c r="Y86"/>
      <c r="Z86"/>
      <c r="AA86"/>
      <c r="AB86"/>
      <c r="AC86"/>
      <c r="AD86"/>
      <c r="AE86"/>
      <c r="AF86"/>
      <c r="AG86"/>
      <c r="AH86"/>
      <c r="AI86"/>
      <c r="AJ86"/>
      <c r="AK86"/>
      <c r="AQ86"/>
      <c r="AR86"/>
      <c r="AS86"/>
      <c r="AT86"/>
      <c r="AU86"/>
      <c r="AV86"/>
      <c r="AW86"/>
      <c r="AX86"/>
      <c r="AY86"/>
      <c r="AZ86"/>
      <c r="BA86"/>
      <c r="BB86"/>
      <c r="BC86"/>
      <c r="BD86"/>
      <c r="BE86"/>
      <c r="BF86"/>
      <c r="BG86"/>
      <c r="BH86"/>
      <c r="BI86"/>
      <c r="BJ86"/>
      <c r="BK86"/>
      <c r="BL86"/>
      <c r="BM86"/>
      <c r="BN86"/>
      <c r="BT86" s="608" t="s">
        <v>705</v>
      </c>
      <c r="BU86" s="608" t="s">
        <v>635</v>
      </c>
      <c r="BV86" s="608" t="s">
        <v>643</v>
      </c>
      <c r="BX86" s="608">
        <v>1</v>
      </c>
      <c r="BY86" s="608" t="s">
        <v>697</v>
      </c>
      <c r="BZ86"/>
      <c r="CA86"/>
      <c r="CB86"/>
      <c r="CC86"/>
      <c r="CD86"/>
    </row>
    <row r="87" spans="3:82" x14ac:dyDescent="0.35">
      <c r="C87" s="608" t="s">
        <v>1129</v>
      </c>
      <c r="D87" s="608" t="s">
        <v>1129</v>
      </c>
      <c r="F87" s="608" t="s">
        <v>665</v>
      </c>
      <c r="G87" s="608" t="s">
        <v>667</v>
      </c>
      <c r="H87" s="608" t="s">
        <v>709</v>
      </c>
      <c r="I87" s="608" t="s">
        <v>1129</v>
      </c>
      <c r="BT87" s="608" t="s">
        <v>755</v>
      </c>
      <c r="BU87" s="608" t="s">
        <v>635</v>
      </c>
      <c r="BV87" s="608" t="s">
        <v>643</v>
      </c>
      <c r="BX87" s="608">
        <v>1</v>
      </c>
      <c r="BY87" s="608" t="s">
        <v>697</v>
      </c>
    </row>
    <row r="88" spans="3:82" x14ac:dyDescent="0.35">
      <c r="C88" s="608" t="s">
        <v>1179</v>
      </c>
      <c r="D88" s="608" t="s">
        <v>1179</v>
      </c>
      <c r="F88" s="608" t="s">
        <v>665</v>
      </c>
      <c r="G88" s="608" t="s">
        <v>667</v>
      </c>
      <c r="H88" s="608" t="s">
        <v>709</v>
      </c>
      <c r="I88" s="608" t="s">
        <v>1179</v>
      </c>
      <c r="BT88" s="608" t="s">
        <v>802</v>
      </c>
      <c r="BU88" s="608" t="s">
        <v>635</v>
      </c>
      <c r="BV88" s="608" t="s">
        <v>643</v>
      </c>
      <c r="BX88" s="608">
        <v>1</v>
      </c>
      <c r="BY88" s="608" t="s">
        <v>697</v>
      </c>
    </row>
    <row r="89" spans="3:82" x14ac:dyDescent="0.35">
      <c r="C89" s="608" t="s">
        <v>1202</v>
      </c>
      <c r="D89" s="608" t="s">
        <v>1202</v>
      </c>
      <c r="F89" s="608" t="s">
        <v>665</v>
      </c>
      <c r="G89" s="608" t="s">
        <v>667</v>
      </c>
      <c r="H89" s="608" t="s">
        <v>709</v>
      </c>
      <c r="I89" s="608" t="s">
        <v>1202</v>
      </c>
      <c r="BT89" s="608" t="s">
        <v>845</v>
      </c>
      <c r="BU89" s="608" t="s">
        <v>635</v>
      </c>
      <c r="BV89" s="608" t="s">
        <v>643</v>
      </c>
      <c r="BX89" s="608">
        <v>1</v>
      </c>
      <c r="BY89" s="608" t="s">
        <v>697</v>
      </c>
    </row>
    <row r="90" spans="3:82" x14ac:dyDescent="0.35">
      <c r="C90" s="608" t="s">
        <v>1441</v>
      </c>
      <c r="D90" s="608" t="s">
        <v>1441</v>
      </c>
      <c r="F90" s="608" t="s">
        <v>665</v>
      </c>
      <c r="G90" s="608" t="s">
        <v>667</v>
      </c>
      <c r="H90" s="608" t="s">
        <v>709</v>
      </c>
      <c r="I90" s="608" t="s">
        <v>1441</v>
      </c>
      <c r="K90">
        <f>COUNTA(K2:K87)</f>
        <v>5</v>
      </c>
      <c r="L90">
        <f t="shared" ref="L90:BQ90" si="0">COUNTA(L2:L87)</f>
        <v>24</v>
      </c>
      <c r="M90">
        <f t="shared" si="0"/>
        <v>31</v>
      </c>
      <c r="N90">
        <f t="shared" si="0"/>
        <v>31</v>
      </c>
      <c r="O90">
        <f t="shared" si="0"/>
        <v>0</v>
      </c>
      <c r="P90">
        <f t="shared" si="0"/>
        <v>3</v>
      </c>
      <c r="Q90">
        <f t="shared" si="0"/>
        <v>25</v>
      </c>
      <c r="R90">
        <f t="shared" si="0"/>
        <v>8</v>
      </c>
      <c r="S90">
        <f t="shared" si="0"/>
        <v>23</v>
      </c>
      <c r="T90">
        <f t="shared" si="0"/>
        <v>28</v>
      </c>
      <c r="U90">
        <f t="shared" si="0"/>
        <v>26</v>
      </c>
      <c r="V90">
        <f t="shared" si="0"/>
        <v>13</v>
      </c>
      <c r="W90">
        <f t="shared" si="0"/>
        <v>12</v>
      </c>
      <c r="X90">
        <f t="shared" si="0"/>
        <v>15</v>
      </c>
      <c r="Y90">
        <f t="shared" si="0"/>
        <v>5</v>
      </c>
      <c r="Z90">
        <f t="shared" si="0"/>
        <v>3</v>
      </c>
      <c r="AA90">
        <f t="shared" si="0"/>
        <v>17</v>
      </c>
      <c r="AB90">
        <f t="shared" si="0"/>
        <v>27</v>
      </c>
      <c r="AC90">
        <f t="shared" si="0"/>
        <v>5</v>
      </c>
      <c r="AD90">
        <f t="shared" si="0"/>
        <v>14</v>
      </c>
      <c r="AE90">
        <f t="shared" si="0"/>
        <v>13</v>
      </c>
      <c r="AF90">
        <f t="shared" si="0"/>
        <v>7</v>
      </c>
      <c r="AG90">
        <f t="shared" si="0"/>
        <v>6</v>
      </c>
      <c r="AH90">
        <f t="shared" si="0"/>
        <v>25</v>
      </c>
      <c r="AI90">
        <f t="shared" si="0"/>
        <v>23</v>
      </c>
      <c r="AJ90">
        <f t="shared" si="0"/>
        <v>7</v>
      </c>
      <c r="AK90">
        <f t="shared" si="0"/>
        <v>25</v>
      </c>
      <c r="AL90">
        <f t="shared" si="0"/>
        <v>4</v>
      </c>
      <c r="AM90">
        <f t="shared" si="0"/>
        <v>6</v>
      </c>
      <c r="AN90">
        <f t="shared" si="0"/>
        <v>18</v>
      </c>
      <c r="AO90">
        <f t="shared" si="0"/>
        <v>9</v>
      </c>
      <c r="AP90">
        <f t="shared" si="0"/>
        <v>5</v>
      </c>
      <c r="AQ90">
        <f t="shared" si="0"/>
        <v>6</v>
      </c>
      <c r="AR90">
        <f t="shared" si="0"/>
        <v>5</v>
      </c>
      <c r="AS90">
        <f t="shared" si="0"/>
        <v>6</v>
      </c>
      <c r="AT90">
        <f t="shared" si="0"/>
        <v>7</v>
      </c>
      <c r="AU90">
        <f t="shared" si="0"/>
        <v>6</v>
      </c>
      <c r="AV90">
        <f t="shared" si="0"/>
        <v>6</v>
      </c>
      <c r="AW90">
        <f t="shared" si="0"/>
        <v>4</v>
      </c>
      <c r="AX90">
        <f t="shared" si="0"/>
        <v>36</v>
      </c>
      <c r="AY90">
        <f t="shared" si="0"/>
        <v>5</v>
      </c>
      <c r="AZ90">
        <f t="shared" si="0"/>
        <v>7</v>
      </c>
      <c r="BA90">
        <f t="shared" si="0"/>
        <v>4</v>
      </c>
      <c r="BB90">
        <f t="shared" si="0"/>
        <v>14</v>
      </c>
      <c r="BC90">
        <f t="shared" si="0"/>
        <v>50</v>
      </c>
      <c r="BD90">
        <f t="shared" si="0"/>
        <v>3</v>
      </c>
      <c r="BE90">
        <f t="shared" si="0"/>
        <v>31</v>
      </c>
      <c r="BF90">
        <f t="shared" si="0"/>
        <v>7</v>
      </c>
      <c r="BG90">
        <f t="shared" si="0"/>
        <v>16</v>
      </c>
      <c r="BH90">
        <f t="shared" si="0"/>
        <v>25</v>
      </c>
      <c r="BI90">
        <f t="shared" si="0"/>
        <v>14</v>
      </c>
      <c r="BJ90">
        <f t="shared" si="0"/>
        <v>13</v>
      </c>
      <c r="BK90">
        <f t="shared" si="0"/>
        <v>7</v>
      </c>
      <c r="BL90">
        <f t="shared" si="0"/>
        <v>6</v>
      </c>
      <c r="BM90">
        <f t="shared" si="0"/>
        <v>23</v>
      </c>
      <c r="BN90">
        <f t="shared" si="0"/>
        <v>15</v>
      </c>
      <c r="BO90">
        <f t="shared" si="0"/>
        <v>19</v>
      </c>
      <c r="BP90">
        <f t="shared" si="0"/>
        <v>31</v>
      </c>
      <c r="BQ90">
        <f t="shared" si="0"/>
        <v>0</v>
      </c>
      <c r="BT90" s="608" t="s">
        <v>884</v>
      </c>
      <c r="BU90" s="608" t="s">
        <v>635</v>
      </c>
      <c r="BV90" s="608" t="s">
        <v>643</v>
      </c>
      <c r="BX90" s="608">
        <v>1</v>
      </c>
      <c r="BY90" s="608" t="s">
        <v>697</v>
      </c>
    </row>
    <row r="91" spans="3:82" x14ac:dyDescent="0.35">
      <c r="C91" s="608" t="s">
        <v>721</v>
      </c>
      <c r="D91" s="608" t="s">
        <v>721</v>
      </c>
      <c r="F91" s="608" t="s">
        <v>1442</v>
      </c>
      <c r="G91" s="608" t="s">
        <v>670</v>
      </c>
      <c r="H91" s="608" t="s">
        <v>709</v>
      </c>
      <c r="I91" s="608" t="s">
        <v>721</v>
      </c>
      <c r="BT91" s="608" t="s">
        <v>921</v>
      </c>
      <c r="BU91" s="608" t="s">
        <v>635</v>
      </c>
      <c r="BV91" s="608" t="s">
        <v>643</v>
      </c>
      <c r="BX91" s="608">
        <v>1</v>
      </c>
      <c r="BY91" s="608" t="s">
        <v>697</v>
      </c>
    </row>
    <row r="92" spans="3:82" x14ac:dyDescent="0.35">
      <c r="C92" s="608" t="s">
        <v>771</v>
      </c>
      <c r="D92" s="608" t="s">
        <v>771</v>
      </c>
      <c r="F92" s="608" t="s">
        <v>1442</v>
      </c>
      <c r="G92" s="608" t="s">
        <v>670</v>
      </c>
      <c r="H92" s="608" t="s">
        <v>709</v>
      </c>
      <c r="I92" s="608" t="s">
        <v>771</v>
      </c>
      <c r="BT92" s="608" t="s">
        <v>953</v>
      </c>
      <c r="BU92" s="608" t="s">
        <v>635</v>
      </c>
      <c r="BV92" s="608" t="s">
        <v>643</v>
      </c>
      <c r="BX92" s="608">
        <v>1</v>
      </c>
      <c r="BY92" s="608" t="s">
        <v>697</v>
      </c>
    </row>
    <row r="93" spans="3:82" x14ac:dyDescent="0.35">
      <c r="C93" s="608" t="s">
        <v>818</v>
      </c>
      <c r="D93" s="608" t="s">
        <v>818</v>
      </c>
      <c r="F93" s="608" t="s">
        <v>1442</v>
      </c>
      <c r="G93" s="608" t="s">
        <v>670</v>
      </c>
      <c r="H93" s="608" t="s">
        <v>709</v>
      </c>
      <c r="I93" s="608" t="s">
        <v>818</v>
      </c>
      <c r="BT93" s="608" t="s">
        <v>988</v>
      </c>
      <c r="BU93" s="608" t="s">
        <v>635</v>
      </c>
      <c r="BV93" s="608" t="s">
        <v>643</v>
      </c>
      <c r="BX93" s="608">
        <v>1</v>
      </c>
      <c r="BY93" s="608" t="s">
        <v>697</v>
      </c>
    </row>
    <row r="94" spans="3:82" x14ac:dyDescent="0.35">
      <c r="C94" s="608" t="s">
        <v>898</v>
      </c>
      <c r="D94" s="608" t="s">
        <v>898</v>
      </c>
      <c r="F94" s="608" t="s">
        <v>1442</v>
      </c>
      <c r="G94" s="608" t="s">
        <v>670</v>
      </c>
      <c r="H94" s="608" t="s">
        <v>709</v>
      </c>
      <c r="I94" s="608" t="s">
        <v>898</v>
      </c>
      <c r="BT94" s="608" t="s">
        <v>1020</v>
      </c>
      <c r="BU94" s="608" t="s">
        <v>635</v>
      </c>
      <c r="BV94" s="608" t="s">
        <v>643</v>
      </c>
      <c r="BX94" s="608">
        <v>1</v>
      </c>
      <c r="BY94" s="608" t="s">
        <v>697</v>
      </c>
    </row>
    <row r="95" spans="3:82" x14ac:dyDescent="0.35">
      <c r="C95" s="608" t="s">
        <v>935</v>
      </c>
      <c r="D95" s="608" t="s">
        <v>935</v>
      </c>
      <c r="F95" s="608" t="s">
        <v>1442</v>
      </c>
      <c r="G95" s="608" t="s">
        <v>670</v>
      </c>
      <c r="H95" s="608" t="s">
        <v>709</v>
      </c>
      <c r="I95" s="608" t="s">
        <v>935</v>
      </c>
      <c r="BT95" s="608" t="s">
        <v>1053</v>
      </c>
      <c r="BU95" s="608" t="s">
        <v>635</v>
      </c>
      <c r="BV95" s="608" t="s">
        <v>643</v>
      </c>
      <c r="BX95" s="608">
        <v>1</v>
      </c>
      <c r="BY95" s="608" t="s">
        <v>697</v>
      </c>
    </row>
    <row r="96" spans="3:82" x14ac:dyDescent="0.35">
      <c r="C96" s="608" t="s">
        <v>967</v>
      </c>
      <c r="D96" s="608" t="s">
        <v>967</v>
      </c>
      <c r="F96" s="608" t="s">
        <v>1442</v>
      </c>
      <c r="G96" s="608" t="s">
        <v>670</v>
      </c>
      <c r="H96" s="608" t="s">
        <v>709</v>
      </c>
      <c r="I96" s="608" t="s">
        <v>967</v>
      </c>
      <c r="BT96" s="608" t="s">
        <v>1086</v>
      </c>
      <c r="BU96" s="608" t="s">
        <v>635</v>
      </c>
      <c r="BV96" s="608" t="s">
        <v>643</v>
      </c>
      <c r="BX96" s="608">
        <v>1</v>
      </c>
      <c r="BY96" s="608" t="s">
        <v>697</v>
      </c>
    </row>
    <row r="97" spans="3:77" x14ac:dyDescent="0.35">
      <c r="C97" s="608" t="s">
        <v>1002</v>
      </c>
      <c r="D97" s="608" t="s">
        <v>1002</v>
      </c>
      <c r="F97" s="608" t="s">
        <v>1442</v>
      </c>
      <c r="G97" s="608" t="s">
        <v>670</v>
      </c>
      <c r="H97" s="608" t="s">
        <v>709</v>
      </c>
      <c r="I97" s="608" t="s">
        <v>1002</v>
      </c>
      <c r="BT97" s="608" t="s">
        <v>1119</v>
      </c>
      <c r="BU97" s="608" t="s">
        <v>635</v>
      </c>
      <c r="BV97" s="608" t="s">
        <v>643</v>
      </c>
      <c r="BX97" s="608">
        <v>1</v>
      </c>
      <c r="BY97" s="608" t="s">
        <v>697</v>
      </c>
    </row>
    <row r="98" spans="3:77" x14ac:dyDescent="0.35">
      <c r="C98" s="608" t="s">
        <v>1034</v>
      </c>
      <c r="D98" s="608" t="s">
        <v>1034</v>
      </c>
      <c r="F98" s="608" t="s">
        <v>1442</v>
      </c>
      <c r="G98" s="608" t="s">
        <v>670</v>
      </c>
      <c r="H98" s="608" t="s">
        <v>709</v>
      </c>
      <c r="I98" s="608" t="s">
        <v>1034</v>
      </c>
      <c r="BT98" s="608" t="s">
        <v>1146</v>
      </c>
      <c r="BU98" s="608" t="s">
        <v>635</v>
      </c>
      <c r="BV98" s="608" t="s">
        <v>643</v>
      </c>
      <c r="BX98" s="608">
        <v>1</v>
      </c>
      <c r="BY98" s="608" t="s">
        <v>697</v>
      </c>
    </row>
    <row r="99" spans="3:77" x14ac:dyDescent="0.35">
      <c r="C99" s="608" t="s">
        <v>1066</v>
      </c>
      <c r="D99" s="608" t="s">
        <v>1066</v>
      </c>
      <c r="F99" s="608" t="s">
        <v>1442</v>
      </c>
      <c r="G99" s="608" t="s">
        <v>670</v>
      </c>
      <c r="H99" s="608" t="s">
        <v>709</v>
      </c>
      <c r="I99" s="608" t="s">
        <v>1066</v>
      </c>
      <c r="BT99" s="608" t="s">
        <v>1170</v>
      </c>
      <c r="BU99" s="608" t="s">
        <v>635</v>
      </c>
      <c r="BV99" s="608" t="s">
        <v>643</v>
      </c>
      <c r="BX99" s="608">
        <v>1</v>
      </c>
      <c r="BY99" s="608" t="s">
        <v>697</v>
      </c>
    </row>
    <row r="100" spans="3:77" x14ac:dyDescent="0.35">
      <c r="C100" s="608" t="s">
        <v>1099</v>
      </c>
      <c r="D100" s="608" t="s">
        <v>1099</v>
      </c>
      <c r="F100" s="608" t="s">
        <v>1442</v>
      </c>
      <c r="G100" s="608" t="s">
        <v>670</v>
      </c>
      <c r="H100" s="608" t="s">
        <v>709</v>
      </c>
      <c r="I100" s="608" t="s">
        <v>1099</v>
      </c>
      <c r="BT100" s="608" t="s">
        <v>1194</v>
      </c>
      <c r="BU100" s="608" t="s">
        <v>635</v>
      </c>
      <c r="BV100" s="608" t="s">
        <v>643</v>
      </c>
      <c r="BX100" s="608">
        <v>1</v>
      </c>
      <c r="BY100" s="608" t="s">
        <v>697</v>
      </c>
    </row>
    <row r="101" spans="3:77" x14ac:dyDescent="0.35">
      <c r="C101" s="608" t="s">
        <v>1131</v>
      </c>
      <c r="D101" s="608" t="s">
        <v>1131</v>
      </c>
      <c r="F101" s="608" t="s">
        <v>1442</v>
      </c>
      <c r="G101" s="608" t="s">
        <v>670</v>
      </c>
      <c r="H101" s="608" t="s">
        <v>709</v>
      </c>
      <c r="I101" s="608" t="s">
        <v>1131</v>
      </c>
      <c r="BT101" s="608" t="s">
        <v>1213</v>
      </c>
      <c r="BU101" s="608" t="s">
        <v>635</v>
      </c>
      <c r="BV101" s="608" t="s">
        <v>643</v>
      </c>
      <c r="BX101" s="608">
        <v>1</v>
      </c>
      <c r="BY101" s="608" t="s">
        <v>697</v>
      </c>
    </row>
    <row r="102" spans="3:77" x14ac:dyDescent="0.35">
      <c r="C102" s="608" t="s">
        <v>722</v>
      </c>
      <c r="D102" s="608" t="s">
        <v>722</v>
      </c>
      <c r="F102" s="608" t="s">
        <v>1442</v>
      </c>
      <c r="G102" s="608" t="s">
        <v>671</v>
      </c>
      <c r="H102" s="608" t="s">
        <v>709</v>
      </c>
      <c r="I102" s="608" t="s">
        <v>722</v>
      </c>
      <c r="BT102" s="608" t="s">
        <v>1234</v>
      </c>
      <c r="BU102" s="608" t="s">
        <v>635</v>
      </c>
      <c r="BV102" s="608" t="s">
        <v>643</v>
      </c>
      <c r="BX102" s="608">
        <v>1</v>
      </c>
      <c r="BY102" s="608" t="s">
        <v>697</v>
      </c>
    </row>
    <row r="103" spans="3:77" x14ac:dyDescent="0.35">
      <c r="C103" s="608" t="s">
        <v>723</v>
      </c>
      <c r="D103" s="608" t="s">
        <v>723</v>
      </c>
      <c r="F103" s="608" t="s">
        <v>1442</v>
      </c>
      <c r="G103" s="608" t="s">
        <v>672</v>
      </c>
      <c r="H103" s="608" t="s">
        <v>709</v>
      </c>
      <c r="I103" s="608" t="s">
        <v>723</v>
      </c>
      <c r="BT103" s="608" t="s">
        <v>701</v>
      </c>
      <c r="BU103" s="608" t="s">
        <v>634</v>
      </c>
      <c r="BV103" s="608" t="s">
        <v>639</v>
      </c>
      <c r="BW103" s="608" t="s">
        <v>709</v>
      </c>
      <c r="BX103" s="608">
        <v>1</v>
      </c>
      <c r="BY103" s="608" t="s">
        <v>697</v>
      </c>
    </row>
    <row r="104" spans="3:77" x14ac:dyDescent="0.35">
      <c r="C104" s="608" t="s">
        <v>773</v>
      </c>
      <c r="D104" s="608" t="s">
        <v>773</v>
      </c>
      <c r="F104" s="608" t="s">
        <v>1442</v>
      </c>
      <c r="G104" s="608" t="s">
        <v>672</v>
      </c>
      <c r="H104" s="608" t="s">
        <v>709</v>
      </c>
      <c r="I104" s="608" t="s">
        <v>773</v>
      </c>
      <c r="BT104" s="608" t="s">
        <v>752</v>
      </c>
      <c r="BU104" s="608" t="s">
        <v>634</v>
      </c>
      <c r="BV104" s="608" t="s">
        <v>639</v>
      </c>
      <c r="BW104" s="608" t="s">
        <v>709</v>
      </c>
      <c r="BX104" s="608">
        <v>1</v>
      </c>
      <c r="BY104" s="608" t="s">
        <v>697</v>
      </c>
    </row>
    <row r="105" spans="3:77" x14ac:dyDescent="0.35">
      <c r="C105" s="608" t="s">
        <v>820</v>
      </c>
      <c r="D105" s="608" t="s">
        <v>820</v>
      </c>
      <c r="F105" s="608" t="s">
        <v>1442</v>
      </c>
      <c r="G105" s="608" t="s">
        <v>672</v>
      </c>
      <c r="H105" s="608" t="s">
        <v>709</v>
      </c>
      <c r="I105" s="608" t="s">
        <v>820</v>
      </c>
      <c r="BT105" s="608" t="s">
        <v>800</v>
      </c>
      <c r="BU105" s="608" t="s">
        <v>634</v>
      </c>
      <c r="BV105" s="608" t="s">
        <v>639</v>
      </c>
      <c r="BX105" s="608">
        <v>1</v>
      </c>
      <c r="BY105" s="608" t="s">
        <v>697</v>
      </c>
    </row>
    <row r="106" spans="3:77" x14ac:dyDescent="0.35">
      <c r="C106" s="608" t="s">
        <v>861</v>
      </c>
      <c r="D106" s="608" t="s">
        <v>861</v>
      </c>
      <c r="F106" s="608" t="s">
        <v>1442</v>
      </c>
      <c r="G106" s="608" t="s">
        <v>672</v>
      </c>
      <c r="H106" s="608" t="s">
        <v>709</v>
      </c>
      <c r="I106" s="608" t="s">
        <v>861</v>
      </c>
      <c r="BT106" s="608" t="s">
        <v>844</v>
      </c>
      <c r="BU106" s="608" t="s">
        <v>634</v>
      </c>
      <c r="BV106" s="608" t="s">
        <v>639</v>
      </c>
      <c r="BW106" s="608" t="s">
        <v>709</v>
      </c>
      <c r="BX106" s="608">
        <v>1</v>
      </c>
      <c r="BY106" s="608" t="s">
        <v>697</v>
      </c>
    </row>
    <row r="107" spans="3:77" x14ac:dyDescent="0.35">
      <c r="C107" s="608" t="s">
        <v>900</v>
      </c>
      <c r="D107" s="608" t="s">
        <v>900</v>
      </c>
      <c r="F107" s="608" t="s">
        <v>1442</v>
      </c>
      <c r="G107" s="608" t="s">
        <v>672</v>
      </c>
      <c r="H107" s="608" t="s">
        <v>709</v>
      </c>
      <c r="I107" s="608" t="s">
        <v>900</v>
      </c>
      <c r="BT107" s="608" t="s">
        <v>882</v>
      </c>
      <c r="BU107" s="608" t="s">
        <v>634</v>
      </c>
      <c r="BV107" s="608" t="s">
        <v>639</v>
      </c>
      <c r="BX107" s="608">
        <v>1</v>
      </c>
      <c r="BY107" s="608" t="s">
        <v>697</v>
      </c>
    </row>
    <row r="108" spans="3:77" x14ac:dyDescent="0.35">
      <c r="C108" s="608" t="s">
        <v>1443</v>
      </c>
      <c r="D108" s="608" t="s">
        <v>1443</v>
      </c>
      <c r="F108" s="608" t="s">
        <v>1442</v>
      </c>
      <c r="G108" s="608" t="s">
        <v>672</v>
      </c>
      <c r="H108" s="608" t="s">
        <v>709</v>
      </c>
      <c r="I108" s="608" t="s">
        <v>1443</v>
      </c>
      <c r="BT108" s="608" t="s">
        <v>919</v>
      </c>
      <c r="BU108" s="608" t="s">
        <v>634</v>
      </c>
      <c r="BV108" s="608" t="s">
        <v>639</v>
      </c>
      <c r="BW108" s="608" t="s">
        <v>709</v>
      </c>
      <c r="BX108" s="608">
        <v>1</v>
      </c>
      <c r="BY108" s="608" t="s">
        <v>697</v>
      </c>
    </row>
    <row r="109" spans="3:77" x14ac:dyDescent="0.35">
      <c r="C109" s="608" t="s">
        <v>724</v>
      </c>
      <c r="D109" s="608" t="s">
        <v>724</v>
      </c>
      <c r="F109" s="608" t="s">
        <v>673</v>
      </c>
      <c r="G109" s="608" t="s">
        <v>674</v>
      </c>
      <c r="H109" s="608" t="s">
        <v>709</v>
      </c>
      <c r="I109" s="608" t="s">
        <v>724</v>
      </c>
      <c r="BT109" s="608" t="s">
        <v>951</v>
      </c>
      <c r="BU109" s="608" t="s">
        <v>634</v>
      </c>
      <c r="BV109" s="608" t="s">
        <v>639</v>
      </c>
      <c r="BX109" s="608">
        <v>1</v>
      </c>
      <c r="BY109" s="608" t="s">
        <v>697</v>
      </c>
    </row>
    <row r="110" spans="3:77" x14ac:dyDescent="0.35">
      <c r="C110" s="608" t="s">
        <v>774</v>
      </c>
      <c r="D110" s="608" t="s">
        <v>774</v>
      </c>
      <c r="F110" s="608" t="s">
        <v>673</v>
      </c>
      <c r="G110" s="608" t="s">
        <v>674</v>
      </c>
      <c r="H110" s="608" t="s">
        <v>709</v>
      </c>
      <c r="I110" s="608" t="s">
        <v>774</v>
      </c>
      <c r="BT110" s="608" t="s">
        <v>986</v>
      </c>
      <c r="BU110" s="608" t="s">
        <v>634</v>
      </c>
      <c r="BV110" s="608" t="s">
        <v>639</v>
      </c>
      <c r="BW110" s="608" t="s">
        <v>709</v>
      </c>
      <c r="BX110" s="608">
        <v>1</v>
      </c>
      <c r="BY110" s="608" t="s">
        <v>697</v>
      </c>
    </row>
    <row r="111" spans="3:77" x14ac:dyDescent="0.35">
      <c r="C111" s="608" t="s">
        <v>821</v>
      </c>
      <c r="D111" s="608" t="s">
        <v>821</v>
      </c>
      <c r="F111" s="608" t="s">
        <v>673</v>
      </c>
      <c r="G111" s="608" t="s">
        <v>674</v>
      </c>
      <c r="H111" s="608" t="s">
        <v>709</v>
      </c>
      <c r="I111" s="608" t="s">
        <v>821</v>
      </c>
      <c r="BT111" s="608" t="s">
        <v>1018</v>
      </c>
      <c r="BU111" s="608" t="s">
        <v>634</v>
      </c>
      <c r="BV111" s="608" t="s">
        <v>639</v>
      </c>
      <c r="BW111" s="608" t="s">
        <v>709</v>
      </c>
      <c r="BX111" s="608">
        <v>1</v>
      </c>
      <c r="BY111" s="608" t="s">
        <v>697</v>
      </c>
    </row>
    <row r="112" spans="3:77" x14ac:dyDescent="0.35">
      <c r="C112" s="608" t="s">
        <v>862</v>
      </c>
      <c r="D112" s="608" t="s">
        <v>862</v>
      </c>
      <c r="F112" s="608" t="s">
        <v>673</v>
      </c>
      <c r="G112" s="608" t="s">
        <v>674</v>
      </c>
      <c r="H112" s="608" t="s">
        <v>709</v>
      </c>
      <c r="I112" s="608" t="s">
        <v>862</v>
      </c>
      <c r="BT112" s="608" t="s">
        <v>1021</v>
      </c>
      <c r="BU112" s="608" t="s">
        <v>634</v>
      </c>
      <c r="BV112" s="608" t="s">
        <v>639</v>
      </c>
      <c r="BW112" s="608" t="s">
        <v>709</v>
      </c>
      <c r="BX112" s="608">
        <v>1</v>
      </c>
      <c r="BY112" s="608" t="s">
        <v>697</v>
      </c>
    </row>
    <row r="113" spans="3:77" x14ac:dyDescent="0.35">
      <c r="C113" s="608" t="s">
        <v>901</v>
      </c>
      <c r="D113" s="608" t="s">
        <v>901</v>
      </c>
      <c r="F113" s="608" t="s">
        <v>673</v>
      </c>
      <c r="G113" s="608" t="s">
        <v>674</v>
      </c>
      <c r="H113" s="608" t="s">
        <v>709</v>
      </c>
      <c r="I113" s="608" t="s">
        <v>901</v>
      </c>
      <c r="BT113" s="608" t="s">
        <v>1084</v>
      </c>
      <c r="BU113" s="608" t="s">
        <v>634</v>
      </c>
      <c r="BV113" s="608" t="s">
        <v>639</v>
      </c>
      <c r="BW113" s="608" t="s">
        <v>709</v>
      </c>
      <c r="BX113" s="608">
        <v>1</v>
      </c>
      <c r="BY113" s="608" t="s">
        <v>697</v>
      </c>
    </row>
    <row r="114" spans="3:77" x14ac:dyDescent="0.35">
      <c r="C114" s="608" t="s">
        <v>969</v>
      </c>
      <c r="D114" s="608" t="s">
        <v>969</v>
      </c>
      <c r="F114" s="608" t="s">
        <v>673</v>
      </c>
      <c r="G114" s="608" t="s">
        <v>674</v>
      </c>
      <c r="H114" s="608" t="s">
        <v>709</v>
      </c>
      <c r="I114" s="608" t="s">
        <v>969</v>
      </c>
      <c r="BT114" s="608" t="s">
        <v>1116</v>
      </c>
      <c r="BU114" s="608" t="s">
        <v>634</v>
      </c>
      <c r="BV114" s="608" t="s">
        <v>639</v>
      </c>
      <c r="BY114" s="608" t="s">
        <v>697</v>
      </c>
    </row>
    <row r="115" spans="3:77" x14ac:dyDescent="0.35">
      <c r="C115" s="608" t="s">
        <v>1036</v>
      </c>
      <c r="D115" s="608" t="s">
        <v>1036</v>
      </c>
      <c r="F115" s="608" t="s">
        <v>673</v>
      </c>
      <c r="G115" s="608" t="s">
        <v>674</v>
      </c>
      <c r="H115" s="608" t="s">
        <v>709</v>
      </c>
      <c r="I115" s="608" t="s">
        <v>1036</v>
      </c>
      <c r="BT115" s="608" t="s">
        <v>1087</v>
      </c>
      <c r="BU115" s="608" t="s">
        <v>634</v>
      </c>
      <c r="BV115" s="608" t="s">
        <v>639</v>
      </c>
      <c r="BW115" s="608" t="s">
        <v>709</v>
      </c>
      <c r="BX115" s="608">
        <v>1</v>
      </c>
      <c r="BY115" s="608" t="s">
        <v>697</v>
      </c>
    </row>
    <row r="116" spans="3:77" x14ac:dyDescent="0.35">
      <c r="C116" s="608" t="s">
        <v>1068</v>
      </c>
      <c r="D116" s="608" t="s">
        <v>1068</v>
      </c>
      <c r="F116" s="608" t="s">
        <v>673</v>
      </c>
      <c r="G116" s="608" t="s">
        <v>674</v>
      </c>
      <c r="H116" s="608" t="s">
        <v>709</v>
      </c>
      <c r="I116" s="608" t="s">
        <v>1068</v>
      </c>
      <c r="BT116" s="608" t="s">
        <v>639</v>
      </c>
      <c r="BU116" s="608" t="s">
        <v>634</v>
      </c>
      <c r="BV116" s="608" t="s">
        <v>639</v>
      </c>
      <c r="BW116" s="608" t="s">
        <v>709</v>
      </c>
      <c r="BX116" s="608">
        <v>1</v>
      </c>
      <c r="BY116" s="608" t="s">
        <v>697</v>
      </c>
    </row>
    <row r="117" spans="3:77" x14ac:dyDescent="0.35">
      <c r="C117" s="608" t="s">
        <v>1101</v>
      </c>
      <c r="D117" s="608" t="s">
        <v>1101</v>
      </c>
      <c r="F117" s="608" t="s">
        <v>673</v>
      </c>
      <c r="G117" s="608" t="s">
        <v>674</v>
      </c>
      <c r="H117" s="608" t="s">
        <v>709</v>
      </c>
      <c r="I117" s="608" t="s">
        <v>1101</v>
      </c>
      <c r="BT117" s="608" t="s">
        <v>1191</v>
      </c>
      <c r="BU117" s="608" t="s">
        <v>634</v>
      </c>
      <c r="BV117" s="608" t="s">
        <v>639</v>
      </c>
      <c r="BY117" s="608" t="s">
        <v>697</v>
      </c>
    </row>
    <row r="118" spans="3:77" x14ac:dyDescent="0.35">
      <c r="C118" s="608" t="s">
        <v>1132</v>
      </c>
      <c r="D118" s="608" t="s">
        <v>1132</v>
      </c>
      <c r="F118" s="608" t="s">
        <v>673</v>
      </c>
      <c r="G118" s="608" t="s">
        <v>674</v>
      </c>
      <c r="H118" s="608" t="s">
        <v>709</v>
      </c>
      <c r="I118" s="608" t="s">
        <v>1132</v>
      </c>
      <c r="BT118" s="608" t="s">
        <v>1444</v>
      </c>
      <c r="BU118" s="608" t="s">
        <v>693</v>
      </c>
      <c r="BV118" s="608" t="s">
        <v>637</v>
      </c>
      <c r="BY118" s="608" t="s">
        <v>697</v>
      </c>
    </row>
    <row r="119" spans="3:77" x14ac:dyDescent="0.35">
      <c r="C119" s="608" t="s">
        <v>1157</v>
      </c>
      <c r="D119" s="608" t="s">
        <v>1157</v>
      </c>
      <c r="F119" s="608" t="s">
        <v>673</v>
      </c>
      <c r="G119" s="608" t="s">
        <v>674</v>
      </c>
      <c r="H119" s="608" t="s">
        <v>709</v>
      </c>
      <c r="I119" s="608" t="s">
        <v>1157</v>
      </c>
      <c r="BT119" s="608" t="s">
        <v>1445</v>
      </c>
      <c r="BU119" s="608" t="s">
        <v>693</v>
      </c>
      <c r="BV119" s="608" t="s">
        <v>637</v>
      </c>
      <c r="BY119" s="608" t="s">
        <v>697</v>
      </c>
    </row>
    <row r="120" spans="3:77" x14ac:dyDescent="0.35">
      <c r="C120" s="608" t="s">
        <v>1181</v>
      </c>
      <c r="D120" s="608" t="s">
        <v>1181</v>
      </c>
      <c r="F120" s="608" t="s">
        <v>673</v>
      </c>
      <c r="G120" s="608" t="s">
        <v>674</v>
      </c>
      <c r="H120" s="608" t="s">
        <v>709</v>
      </c>
      <c r="I120" s="608" t="s">
        <v>1181</v>
      </c>
      <c r="BT120" s="608" t="s">
        <v>1446</v>
      </c>
      <c r="BU120" s="608" t="s">
        <v>693</v>
      </c>
      <c r="BV120" s="608" t="s">
        <v>637</v>
      </c>
      <c r="BY120" s="608" t="s">
        <v>697</v>
      </c>
    </row>
    <row r="121" spans="3:77" x14ac:dyDescent="0.35">
      <c r="C121" s="608" t="s">
        <v>1204</v>
      </c>
      <c r="D121" s="608" t="s">
        <v>1204</v>
      </c>
      <c r="F121" s="608" t="s">
        <v>673</v>
      </c>
      <c r="G121" s="608" t="s">
        <v>674</v>
      </c>
      <c r="H121" s="608" t="s">
        <v>709</v>
      </c>
      <c r="I121" s="608" t="s">
        <v>1204</v>
      </c>
      <c r="BT121" s="608" t="s">
        <v>1447</v>
      </c>
      <c r="BU121" s="608" t="s">
        <v>693</v>
      </c>
      <c r="BV121" s="608" t="s">
        <v>637</v>
      </c>
      <c r="BY121" s="608" t="s">
        <v>697</v>
      </c>
    </row>
    <row r="122" spans="3:77" x14ac:dyDescent="0.35">
      <c r="C122" s="608" t="s">
        <v>1223</v>
      </c>
      <c r="D122" s="608" t="s">
        <v>1223</v>
      </c>
      <c r="F122" s="608" t="s">
        <v>673</v>
      </c>
      <c r="G122" s="608" t="s">
        <v>674</v>
      </c>
      <c r="H122" s="608" t="s">
        <v>709</v>
      </c>
      <c r="I122" s="608" t="s">
        <v>1223</v>
      </c>
      <c r="BT122" s="608" t="s">
        <v>1448</v>
      </c>
      <c r="BU122" s="608" t="s">
        <v>693</v>
      </c>
      <c r="BV122" s="608" t="s">
        <v>637</v>
      </c>
      <c r="BY122" s="608" t="s">
        <v>697</v>
      </c>
    </row>
    <row r="123" spans="3:77" x14ac:dyDescent="0.35">
      <c r="C123" s="608" t="s">
        <v>1262</v>
      </c>
      <c r="D123" s="608" t="s">
        <v>1262</v>
      </c>
      <c r="F123" s="608" t="s">
        <v>673</v>
      </c>
      <c r="G123" s="608" t="s">
        <v>674</v>
      </c>
      <c r="H123" s="608" t="s">
        <v>709</v>
      </c>
      <c r="I123" s="608" t="s">
        <v>1262</v>
      </c>
      <c r="BT123" s="608" t="s">
        <v>707</v>
      </c>
      <c r="BU123" s="608" t="s">
        <v>693</v>
      </c>
      <c r="BV123" s="608" t="s">
        <v>637</v>
      </c>
      <c r="BY123" s="608" t="s">
        <v>697</v>
      </c>
    </row>
    <row r="124" spans="3:77" x14ac:dyDescent="0.35">
      <c r="C124" s="608" t="s">
        <v>1277</v>
      </c>
      <c r="D124" s="608" t="s">
        <v>1277</v>
      </c>
      <c r="F124" s="608" t="s">
        <v>673</v>
      </c>
      <c r="G124" s="608" t="s">
        <v>674</v>
      </c>
      <c r="H124" s="608" t="s">
        <v>709</v>
      </c>
      <c r="I124" s="608" t="s">
        <v>1277</v>
      </c>
      <c r="BT124" s="608" t="s">
        <v>1449</v>
      </c>
      <c r="BU124" s="608" t="s">
        <v>693</v>
      </c>
      <c r="BV124" s="608" t="s">
        <v>637</v>
      </c>
      <c r="BY124" s="608" t="s">
        <v>697</v>
      </c>
    </row>
    <row r="125" spans="3:77" x14ac:dyDescent="0.35">
      <c r="C125" s="608" t="s">
        <v>1292</v>
      </c>
      <c r="D125" s="608" t="s">
        <v>1292</v>
      </c>
      <c r="F125" s="608" t="s">
        <v>673</v>
      </c>
      <c r="G125" s="608" t="s">
        <v>674</v>
      </c>
      <c r="H125" s="608" t="s">
        <v>709</v>
      </c>
      <c r="I125" s="608" t="s">
        <v>1292</v>
      </c>
      <c r="BT125" s="608" t="s">
        <v>757</v>
      </c>
      <c r="BU125" s="608" t="s">
        <v>693</v>
      </c>
      <c r="BV125" s="608" t="s">
        <v>637</v>
      </c>
      <c r="BY125" s="608" t="s">
        <v>697</v>
      </c>
    </row>
    <row r="126" spans="3:77" x14ac:dyDescent="0.35">
      <c r="C126" s="608" t="s">
        <v>1308</v>
      </c>
      <c r="D126" s="608" t="s">
        <v>1308</v>
      </c>
      <c r="F126" s="608" t="s">
        <v>673</v>
      </c>
      <c r="G126" s="608" t="s">
        <v>674</v>
      </c>
      <c r="H126" s="608" t="s">
        <v>709</v>
      </c>
      <c r="I126" s="608" t="s">
        <v>1308</v>
      </c>
      <c r="BT126" s="608" t="s">
        <v>1450</v>
      </c>
      <c r="BU126" s="608" t="s">
        <v>693</v>
      </c>
      <c r="BV126" s="608" t="s">
        <v>637</v>
      </c>
      <c r="BW126" s="608" t="s">
        <v>709</v>
      </c>
      <c r="BY126" s="608" t="s">
        <v>697</v>
      </c>
    </row>
    <row r="127" spans="3:77" x14ac:dyDescent="0.35">
      <c r="C127" s="608" t="s">
        <v>1325</v>
      </c>
      <c r="D127" s="608" t="s">
        <v>1325</v>
      </c>
      <c r="F127" s="608" t="s">
        <v>673</v>
      </c>
      <c r="G127" s="608" t="s">
        <v>674</v>
      </c>
      <c r="H127" s="608" t="s">
        <v>709</v>
      </c>
      <c r="I127" s="608" t="s">
        <v>1325</v>
      </c>
      <c r="BT127" s="608" t="s">
        <v>1451</v>
      </c>
      <c r="BU127" s="608" t="s">
        <v>693</v>
      </c>
      <c r="BV127" s="608" t="s">
        <v>637</v>
      </c>
      <c r="BY127" s="608" t="s">
        <v>697</v>
      </c>
    </row>
    <row r="128" spans="3:77" x14ac:dyDescent="0.35">
      <c r="C128" s="608" t="s">
        <v>1338</v>
      </c>
      <c r="D128" s="608" t="s">
        <v>1338</v>
      </c>
      <c r="F128" s="608" t="s">
        <v>673</v>
      </c>
      <c r="G128" s="608" t="s">
        <v>674</v>
      </c>
      <c r="H128" s="608" t="s">
        <v>709</v>
      </c>
      <c r="I128" s="608" t="s">
        <v>1338</v>
      </c>
      <c r="BT128" s="608" t="s">
        <v>913</v>
      </c>
      <c r="BU128" s="608" t="s">
        <v>693</v>
      </c>
      <c r="BV128" s="608" t="s">
        <v>637</v>
      </c>
      <c r="BX128" s="608">
        <v>1</v>
      </c>
      <c r="BY128" s="608" t="s">
        <v>697</v>
      </c>
    </row>
    <row r="129" spans="3:77" x14ac:dyDescent="0.35">
      <c r="C129" s="608" t="s">
        <v>677</v>
      </c>
      <c r="D129" s="608" t="s">
        <v>677</v>
      </c>
      <c r="F129" s="608" t="s">
        <v>673</v>
      </c>
      <c r="G129" s="608" t="s">
        <v>677</v>
      </c>
      <c r="H129" s="608" t="s">
        <v>709</v>
      </c>
      <c r="I129" s="608" t="s">
        <v>677</v>
      </c>
      <c r="BT129" s="608" t="s">
        <v>1453</v>
      </c>
      <c r="BU129" s="608" t="s">
        <v>693</v>
      </c>
      <c r="BV129" s="608" t="s">
        <v>637</v>
      </c>
      <c r="BY129" s="608" t="s">
        <v>697</v>
      </c>
    </row>
    <row r="130" spans="3:77" x14ac:dyDescent="0.35">
      <c r="C130" s="608" t="s">
        <v>728</v>
      </c>
      <c r="D130" s="608" t="s">
        <v>728</v>
      </c>
      <c r="F130" s="608" t="s">
        <v>1452</v>
      </c>
      <c r="G130" s="608" t="s">
        <v>679</v>
      </c>
      <c r="H130" s="608" t="s">
        <v>709</v>
      </c>
      <c r="I130" s="608" t="s">
        <v>728</v>
      </c>
      <c r="BT130" s="608" t="s">
        <v>1454</v>
      </c>
      <c r="BU130" s="608" t="s">
        <v>693</v>
      </c>
      <c r="BV130" s="608" t="s">
        <v>637</v>
      </c>
      <c r="BY130" s="608" t="s">
        <v>697</v>
      </c>
    </row>
    <row r="131" spans="3:77" x14ac:dyDescent="0.35">
      <c r="C131" s="608" t="s">
        <v>824</v>
      </c>
      <c r="D131" s="608" t="s">
        <v>824</v>
      </c>
      <c r="F131" s="608" t="s">
        <v>1452</v>
      </c>
      <c r="G131" s="608" t="s">
        <v>679</v>
      </c>
      <c r="H131" s="608" t="s">
        <v>709</v>
      </c>
      <c r="I131" s="608" t="s">
        <v>824</v>
      </c>
      <c r="BT131" s="608" t="s">
        <v>1455</v>
      </c>
      <c r="BU131" s="608" t="s">
        <v>693</v>
      </c>
      <c r="BV131" s="608" t="s">
        <v>637</v>
      </c>
      <c r="BY131" s="608" t="s">
        <v>697</v>
      </c>
    </row>
    <row r="132" spans="3:77" x14ac:dyDescent="0.35">
      <c r="C132" s="608" t="s">
        <v>679</v>
      </c>
      <c r="D132" s="608" t="s">
        <v>679</v>
      </c>
      <c r="F132" s="608" t="s">
        <v>1452</v>
      </c>
      <c r="G132" s="608" t="s">
        <v>679</v>
      </c>
      <c r="H132" s="608" t="s">
        <v>709</v>
      </c>
      <c r="I132" s="608" t="s">
        <v>679</v>
      </c>
      <c r="BT132" s="608" t="s">
        <v>1456</v>
      </c>
      <c r="BU132" s="608" t="s">
        <v>693</v>
      </c>
      <c r="BV132" s="608" t="s">
        <v>637</v>
      </c>
      <c r="BY132" s="608" t="s">
        <v>697</v>
      </c>
    </row>
    <row r="133" spans="3:77" x14ac:dyDescent="0.35">
      <c r="C133" s="608" t="s">
        <v>680</v>
      </c>
      <c r="D133" s="608" t="s">
        <v>680</v>
      </c>
      <c r="F133" s="608" t="s">
        <v>1452</v>
      </c>
      <c r="G133" s="608" t="s">
        <v>680</v>
      </c>
      <c r="H133" s="608" t="s">
        <v>709</v>
      </c>
      <c r="I133" s="608" t="s">
        <v>680</v>
      </c>
      <c r="BT133" s="608" t="s">
        <v>1458</v>
      </c>
      <c r="BU133" s="608" t="s">
        <v>693</v>
      </c>
      <c r="BV133" s="608" t="s">
        <v>637</v>
      </c>
      <c r="BY133" s="608" t="s">
        <v>697</v>
      </c>
    </row>
    <row r="134" spans="3:77" x14ac:dyDescent="0.35">
      <c r="C134" s="608" t="s">
        <v>730</v>
      </c>
      <c r="D134" s="608" t="s">
        <v>730</v>
      </c>
      <c r="F134" s="608" t="s">
        <v>681</v>
      </c>
      <c r="G134" s="608" t="s">
        <v>1457</v>
      </c>
      <c r="H134" s="608" t="s">
        <v>709</v>
      </c>
      <c r="I134" s="608" t="s">
        <v>730</v>
      </c>
      <c r="BT134" s="608" t="s">
        <v>1460</v>
      </c>
      <c r="BU134" s="608" t="s">
        <v>693</v>
      </c>
      <c r="BV134" s="608" t="s">
        <v>637</v>
      </c>
      <c r="BY134" s="608" t="s">
        <v>697</v>
      </c>
    </row>
    <row r="135" spans="3:77" x14ac:dyDescent="0.35">
      <c r="C135" s="608" t="s">
        <v>1459</v>
      </c>
      <c r="D135" s="608" t="s">
        <v>1459</v>
      </c>
      <c r="F135" s="608" t="s">
        <v>681</v>
      </c>
      <c r="G135" s="608" t="s">
        <v>1457</v>
      </c>
      <c r="H135" s="608" t="s">
        <v>709</v>
      </c>
      <c r="I135" s="608" t="s">
        <v>1459</v>
      </c>
      <c r="BT135" s="608" t="s">
        <v>1462</v>
      </c>
      <c r="BU135" s="608" t="s">
        <v>693</v>
      </c>
      <c r="BV135" s="608" t="s">
        <v>637</v>
      </c>
      <c r="BY135" s="608" t="s">
        <v>697</v>
      </c>
    </row>
    <row r="136" spans="3:77" x14ac:dyDescent="0.35">
      <c r="C136" s="608" t="s">
        <v>1461</v>
      </c>
      <c r="D136" s="608" t="s">
        <v>1461</v>
      </c>
      <c r="F136" s="608" t="s">
        <v>681</v>
      </c>
      <c r="G136" s="608" t="s">
        <v>1457</v>
      </c>
      <c r="H136" s="608" t="s">
        <v>709</v>
      </c>
      <c r="I136" s="608" t="s">
        <v>1461</v>
      </c>
      <c r="BT136" s="608" t="s">
        <v>980</v>
      </c>
      <c r="BU136" s="608" t="s">
        <v>693</v>
      </c>
      <c r="BV136" s="608" t="s">
        <v>637</v>
      </c>
      <c r="BW136" s="608" t="s">
        <v>709</v>
      </c>
      <c r="BX136" s="608">
        <v>1</v>
      </c>
      <c r="BY136" s="608" t="s">
        <v>697</v>
      </c>
    </row>
    <row r="137" spans="3:77" x14ac:dyDescent="0.35">
      <c r="C137" s="608" t="s">
        <v>1463</v>
      </c>
      <c r="D137" s="608" t="s">
        <v>1463</v>
      </c>
      <c r="F137" s="608" t="s">
        <v>681</v>
      </c>
      <c r="G137" s="608" t="s">
        <v>1457</v>
      </c>
      <c r="H137" s="608" t="s">
        <v>709</v>
      </c>
      <c r="I137" s="608" t="s">
        <v>1463</v>
      </c>
      <c r="BT137" s="608" t="s">
        <v>1464</v>
      </c>
      <c r="BU137" s="608" t="s">
        <v>693</v>
      </c>
      <c r="BV137" s="608" t="s">
        <v>637</v>
      </c>
      <c r="BY137" s="608" t="s">
        <v>697</v>
      </c>
    </row>
    <row r="138" spans="3:77" x14ac:dyDescent="0.35">
      <c r="C138" s="608" t="s">
        <v>780</v>
      </c>
      <c r="D138" s="608" t="s">
        <v>780</v>
      </c>
      <c r="F138" s="608" t="s">
        <v>681</v>
      </c>
      <c r="G138" s="608" t="s">
        <v>1457</v>
      </c>
      <c r="H138" s="608" t="s">
        <v>709</v>
      </c>
      <c r="I138" s="608" t="s">
        <v>780</v>
      </c>
      <c r="BT138" s="608" t="s">
        <v>1465</v>
      </c>
      <c r="BU138" s="608" t="s">
        <v>693</v>
      </c>
      <c r="BV138" s="608" t="s">
        <v>637</v>
      </c>
      <c r="BY138" s="608" t="s">
        <v>697</v>
      </c>
    </row>
    <row r="139" spans="3:77" x14ac:dyDescent="0.35">
      <c r="C139" s="608" t="s">
        <v>733</v>
      </c>
      <c r="D139" s="608" t="s">
        <v>733</v>
      </c>
      <c r="F139" s="608" t="s">
        <v>681</v>
      </c>
      <c r="G139" s="608" t="s">
        <v>627</v>
      </c>
      <c r="H139" s="608" t="s">
        <v>709</v>
      </c>
      <c r="I139" s="608" t="s">
        <v>733</v>
      </c>
      <c r="BT139" s="608" t="s">
        <v>637</v>
      </c>
      <c r="BU139" s="608" t="s">
        <v>693</v>
      </c>
      <c r="BV139" s="608" t="s">
        <v>637</v>
      </c>
      <c r="BW139" s="608" t="s">
        <v>709</v>
      </c>
      <c r="BX139" s="608">
        <v>1</v>
      </c>
      <c r="BY139" s="608" t="s">
        <v>697</v>
      </c>
    </row>
    <row r="140" spans="3:77" x14ac:dyDescent="0.35">
      <c r="C140" s="608" t="s">
        <v>827</v>
      </c>
      <c r="D140" s="608" t="s">
        <v>827</v>
      </c>
      <c r="F140" s="608" t="s">
        <v>681</v>
      </c>
      <c r="G140" s="608" t="s">
        <v>627</v>
      </c>
      <c r="H140" s="608" t="s">
        <v>709</v>
      </c>
      <c r="I140" s="608" t="s">
        <v>827</v>
      </c>
      <c r="BT140" s="608" t="s">
        <v>1467</v>
      </c>
      <c r="BU140" s="608" t="s">
        <v>693</v>
      </c>
      <c r="BV140" s="608" t="s">
        <v>637</v>
      </c>
      <c r="BY140" s="608" t="s">
        <v>697</v>
      </c>
    </row>
    <row r="141" spans="3:77" x14ac:dyDescent="0.35">
      <c r="C141" s="608" t="s">
        <v>1466</v>
      </c>
      <c r="D141" s="608" t="s">
        <v>1466</v>
      </c>
      <c r="F141" s="608" t="s">
        <v>681</v>
      </c>
      <c r="G141" s="608" t="s">
        <v>627</v>
      </c>
      <c r="H141" s="608" t="s">
        <v>709</v>
      </c>
      <c r="I141" s="608" t="s">
        <v>1466</v>
      </c>
      <c r="BT141" s="608" t="s">
        <v>885</v>
      </c>
      <c r="BU141" s="608" t="s">
        <v>693</v>
      </c>
      <c r="BV141" s="608" t="s">
        <v>637</v>
      </c>
      <c r="BY141" s="608" t="s">
        <v>697</v>
      </c>
    </row>
    <row r="142" spans="3:77" x14ac:dyDescent="0.35">
      <c r="C142" s="608" t="s">
        <v>1468</v>
      </c>
      <c r="D142" s="608" t="s">
        <v>1468</v>
      </c>
      <c r="F142" s="608" t="s">
        <v>681</v>
      </c>
      <c r="G142" s="608" t="s">
        <v>627</v>
      </c>
      <c r="H142" s="608" t="s">
        <v>709</v>
      </c>
      <c r="I142" s="608" t="s">
        <v>1468</v>
      </c>
      <c r="BT142" s="608" t="s">
        <v>699</v>
      </c>
      <c r="BU142" s="608" t="s">
        <v>693</v>
      </c>
      <c r="BV142" s="608" t="s">
        <v>637</v>
      </c>
      <c r="BW142" s="608" t="s">
        <v>709</v>
      </c>
      <c r="BY142" s="608" t="s">
        <v>697</v>
      </c>
    </row>
    <row r="143" spans="3:77" x14ac:dyDescent="0.35">
      <c r="C143" s="608" t="s">
        <v>830</v>
      </c>
      <c r="D143" s="608" t="s">
        <v>830</v>
      </c>
      <c r="F143" s="608" t="s">
        <v>636</v>
      </c>
      <c r="G143" s="608" t="s">
        <v>644</v>
      </c>
      <c r="H143" s="608" t="s">
        <v>709</v>
      </c>
      <c r="I143" s="608" t="s">
        <v>830</v>
      </c>
      <c r="BT143" s="608" t="s">
        <v>751</v>
      </c>
      <c r="BU143" s="608" t="s">
        <v>693</v>
      </c>
      <c r="BV143" s="608" t="s">
        <v>637</v>
      </c>
      <c r="BY143" s="608" t="s">
        <v>697</v>
      </c>
    </row>
    <row r="144" spans="3:77" x14ac:dyDescent="0.35">
      <c r="C144" s="608" t="s">
        <v>1104</v>
      </c>
      <c r="D144" s="608" t="s">
        <v>1104</v>
      </c>
      <c r="F144" s="608" t="s">
        <v>636</v>
      </c>
      <c r="G144" s="608" t="s">
        <v>644</v>
      </c>
      <c r="H144" s="608" t="s">
        <v>709</v>
      </c>
      <c r="I144" s="608" t="s">
        <v>1104</v>
      </c>
      <c r="BT144" s="608" t="s">
        <v>799</v>
      </c>
      <c r="BU144" s="608" t="s">
        <v>693</v>
      </c>
      <c r="BV144" s="608" t="s">
        <v>637</v>
      </c>
      <c r="BY144" s="608" t="s">
        <v>697</v>
      </c>
    </row>
    <row r="145" spans="3:77" x14ac:dyDescent="0.35">
      <c r="C145" s="608" t="s">
        <v>1311</v>
      </c>
      <c r="D145" s="608" t="s">
        <v>1311</v>
      </c>
      <c r="F145" s="608" t="s">
        <v>636</v>
      </c>
      <c r="G145" s="608" t="s">
        <v>644</v>
      </c>
      <c r="H145" s="608" t="s">
        <v>709</v>
      </c>
      <c r="I145" s="608" t="s">
        <v>1311</v>
      </c>
      <c r="BT145" s="608" t="s">
        <v>843</v>
      </c>
      <c r="BU145" s="608" t="s">
        <v>693</v>
      </c>
      <c r="BV145" s="608" t="s">
        <v>637</v>
      </c>
      <c r="BX145" s="608">
        <v>1</v>
      </c>
      <c r="BY145" s="608" t="s">
        <v>697</v>
      </c>
    </row>
    <row r="146" spans="3:77" x14ac:dyDescent="0.35">
      <c r="C146" s="608" t="s">
        <v>1050</v>
      </c>
      <c r="D146" s="608" t="s">
        <v>1050</v>
      </c>
      <c r="F146" s="608" t="s">
        <v>636</v>
      </c>
      <c r="G146" s="608" t="s">
        <v>644</v>
      </c>
      <c r="H146" s="608" t="s">
        <v>709</v>
      </c>
      <c r="I146" s="608" t="s">
        <v>1050</v>
      </c>
      <c r="BT146" s="608" t="s">
        <v>881</v>
      </c>
      <c r="BU146" s="608" t="s">
        <v>693</v>
      </c>
      <c r="BV146" s="608" t="s">
        <v>637</v>
      </c>
      <c r="BY146" s="608" t="s">
        <v>697</v>
      </c>
    </row>
    <row r="147" spans="3:77" x14ac:dyDescent="0.35">
      <c r="C147" s="608" t="s">
        <v>1396</v>
      </c>
      <c r="D147" s="608" t="s">
        <v>1396</v>
      </c>
      <c r="F147" s="608" t="s">
        <v>636</v>
      </c>
      <c r="G147" s="608" t="s">
        <v>644</v>
      </c>
      <c r="H147" s="608" t="s">
        <v>709</v>
      </c>
      <c r="I147" s="608" t="s">
        <v>1396</v>
      </c>
      <c r="BT147" s="608" t="s">
        <v>918</v>
      </c>
      <c r="BU147" s="608" t="s">
        <v>693</v>
      </c>
      <c r="BV147" s="608" t="s">
        <v>637</v>
      </c>
      <c r="BW147" s="608" t="s">
        <v>709</v>
      </c>
      <c r="BY147" s="608" t="s">
        <v>697</v>
      </c>
    </row>
    <row r="148" spans="3:77" x14ac:dyDescent="0.35">
      <c r="C148" s="608" t="s">
        <v>737</v>
      </c>
      <c r="D148" s="608" t="s">
        <v>737</v>
      </c>
      <c r="F148" s="608" t="s">
        <v>636</v>
      </c>
      <c r="G148" s="608" t="s">
        <v>645</v>
      </c>
      <c r="H148" s="608" t="s">
        <v>709</v>
      </c>
      <c r="I148" s="608" t="s">
        <v>737</v>
      </c>
      <c r="BT148" s="608" t="s">
        <v>950</v>
      </c>
      <c r="BU148" s="608" t="s">
        <v>693</v>
      </c>
      <c r="BV148" s="608" t="s">
        <v>637</v>
      </c>
      <c r="BW148" s="608" t="s">
        <v>709</v>
      </c>
      <c r="BY148" s="608" t="s">
        <v>697</v>
      </c>
    </row>
    <row r="149" spans="3:77" x14ac:dyDescent="0.35">
      <c r="C149" s="608" t="s">
        <v>739</v>
      </c>
      <c r="D149" s="608" t="s">
        <v>739</v>
      </c>
      <c r="F149" s="608" t="s">
        <v>635</v>
      </c>
      <c r="G149" s="608" t="s">
        <v>640</v>
      </c>
      <c r="H149" s="608" t="s">
        <v>709</v>
      </c>
      <c r="I149" s="608" t="s">
        <v>739</v>
      </c>
      <c r="BT149" s="608" t="s">
        <v>985</v>
      </c>
      <c r="BU149" s="608" t="s">
        <v>693</v>
      </c>
      <c r="BV149" s="608" t="s">
        <v>637</v>
      </c>
      <c r="BX149" s="608">
        <v>1</v>
      </c>
      <c r="BY149" s="608" t="s">
        <v>697</v>
      </c>
    </row>
    <row r="150" spans="3:77" x14ac:dyDescent="0.35">
      <c r="C150" s="608" t="s">
        <v>702</v>
      </c>
      <c r="D150" s="608" t="s">
        <v>702</v>
      </c>
      <c r="F150" s="608" t="s">
        <v>635</v>
      </c>
      <c r="G150" s="608" t="s">
        <v>640</v>
      </c>
      <c r="H150" s="608" t="s">
        <v>709</v>
      </c>
      <c r="I150" s="608" t="s">
        <v>702</v>
      </c>
      <c r="BT150" s="608" t="s">
        <v>1017</v>
      </c>
      <c r="BU150" s="608" t="s">
        <v>693</v>
      </c>
      <c r="BV150" s="608" t="s">
        <v>637</v>
      </c>
      <c r="BX150" s="608">
        <v>1</v>
      </c>
      <c r="BY150" s="608" t="s">
        <v>697</v>
      </c>
    </row>
    <row r="151" spans="3:77" x14ac:dyDescent="0.35">
      <c r="C151" s="608" t="s">
        <v>831</v>
      </c>
      <c r="D151" s="608" t="s">
        <v>831</v>
      </c>
      <c r="F151" s="608" t="s">
        <v>635</v>
      </c>
      <c r="G151" s="608" t="s">
        <v>640</v>
      </c>
      <c r="H151" s="608" t="s">
        <v>709</v>
      </c>
      <c r="I151" s="608" t="s">
        <v>831</v>
      </c>
      <c r="BT151" s="608" t="s">
        <v>1051</v>
      </c>
      <c r="BU151" s="608" t="s">
        <v>693</v>
      </c>
      <c r="BV151" s="608" t="s">
        <v>637</v>
      </c>
      <c r="BW151" s="608" t="s">
        <v>709</v>
      </c>
      <c r="BY151" s="608" t="s">
        <v>697</v>
      </c>
    </row>
    <row r="152" spans="3:77" x14ac:dyDescent="0.35">
      <c r="C152" s="608" t="s">
        <v>753</v>
      </c>
      <c r="D152" s="608" t="s">
        <v>753</v>
      </c>
      <c r="F152" s="608" t="s">
        <v>635</v>
      </c>
      <c r="G152" s="608" t="s">
        <v>640</v>
      </c>
      <c r="H152" s="608" t="s">
        <v>709</v>
      </c>
      <c r="I152" s="608" t="s">
        <v>753</v>
      </c>
      <c r="BT152" s="608" t="s">
        <v>1083</v>
      </c>
      <c r="BU152" s="608" t="s">
        <v>693</v>
      </c>
      <c r="BV152" s="608" t="s">
        <v>637</v>
      </c>
      <c r="BY152" s="608" t="s">
        <v>697</v>
      </c>
    </row>
    <row r="153" spans="3:77" x14ac:dyDescent="0.35">
      <c r="C153" s="608" t="s">
        <v>908</v>
      </c>
      <c r="D153" s="608" t="s">
        <v>908</v>
      </c>
      <c r="F153" s="608" t="s">
        <v>635</v>
      </c>
      <c r="G153" s="608" t="s">
        <v>640</v>
      </c>
      <c r="H153" s="608" t="s">
        <v>709</v>
      </c>
      <c r="I153" s="608" t="s">
        <v>908</v>
      </c>
      <c r="BT153" s="608" t="s">
        <v>1115</v>
      </c>
      <c r="BU153" s="608" t="s">
        <v>693</v>
      </c>
      <c r="BV153" s="608" t="s">
        <v>637</v>
      </c>
      <c r="BY153" s="608" t="s">
        <v>697</v>
      </c>
    </row>
    <row r="154" spans="3:77" x14ac:dyDescent="0.35">
      <c r="C154" s="608" t="s">
        <v>940</v>
      </c>
      <c r="D154" s="608" t="s">
        <v>940</v>
      </c>
      <c r="F154" s="608" t="s">
        <v>635</v>
      </c>
      <c r="G154" s="608" t="s">
        <v>640</v>
      </c>
      <c r="H154" s="608" t="s">
        <v>709</v>
      </c>
      <c r="I154" s="608" t="s">
        <v>940</v>
      </c>
      <c r="BT154" s="608" t="s">
        <v>1143</v>
      </c>
      <c r="BU154" s="608" t="s">
        <v>693</v>
      </c>
      <c r="BV154" s="608" t="s">
        <v>637</v>
      </c>
      <c r="BX154" s="608">
        <v>1</v>
      </c>
      <c r="BY154" s="608" t="s">
        <v>697</v>
      </c>
    </row>
    <row r="155" spans="3:77" x14ac:dyDescent="0.35">
      <c r="C155" s="608" t="s">
        <v>974</v>
      </c>
      <c r="D155" s="608" t="s">
        <v>974</v>
      </c>
      <c r="F155" s="608" t="s">
        <v>635</v>
      </c>
      <c r="G155" s="608" t="s">
        <v>640</v>
      </c>
      <c r="H155" s="608" t="s">
        <v>709</v>
      </c>
      <c r="I155" s="608" t="s">
        <v>974</v>
      </c>
      <c r="BT155" s="608" t="s">
        <v>1167</v>
      </c>
      <c r="BU155" s="608" t="s">
        <v>693</v>
      </c>
      <c r="BV155" s="608" t="s">
        <v>637</v>
      </c>
      <c r="BW155" s="608" t="s">
        <v>709</v>
      </c>
      <c r="BX155" s="608">
        <v>1</v>
      </c>
      <c r="BY155" s="608" t="s">
        <v>697</v>
      </c>
    </row>
    <row r="156" spans="3:77" x14ac:dyDescent="0.35">
      <c r="C156" s="608" t="s">
        <v>1009</v>
      </c>
      <c r="D156" s="608" t="s">
        <v>1009</v>
      </c>
      <c r="F156" s="608" t="s">
        <v>635</v>
      </c>
      <c r="G156" s="608" t="s">
        <v>640</v>
      </c>
      <c r="H156" s="608" t="s">
        <v>709</v>
      </c>
      <c r="I156" s="608" t="s">
        <v>1009</v>
      </c>
      <c r="BT156" s="608" t="s">
        <v>1190</v>
      </c>
      <c r="BU156" s="608" t="s">
        <v>693</v>
      </c>
      <c r="BV156" s="608" t="s">
        <v>637</v>
      </c>
      <c r="BY156" s="608" t="s">
        <v>697</v>
      </c>
    </row>
    <row r="157" spans="3:77" x14ac:dyDescent="0.35">
      <c r="C157" s="608" t="s">
        <v>1041</v>
      </c>
      <c r="D157" s="608" t="s">
        <v>1041</v>
      </c>
      <c r="F157" s="608" t="s">
        <v>635</v>
      </c>
      <c r="G157" s="608" t="s">
        <v>640</v>
      </c>
      <c r="H157" s="608" t="s">
        <v>709</v>
      </c>
      <c r="I157" s="608" t="s">
        <v>1041</v>
      </c>
      <c r="BT157" s="608" t="s">
        <v>1211</v>
      </c>
      <c r="BU157" s="608" t="s">
        <v>693</v>
      </c>
      <c r="BV157" s="608" t="s">
        <v>637</v>
      </c>
      <c r="BY157" s="608" t="s">
        <v>697</v>
      </c>
    </row>
    <row r="158" spans="3:77" x14ac:dyDescent="0.35">
      <c r="C158" s="608" t="s">
        <v>1073</v>
      </c>
      <c r="D158" s="608" t="s">
        <v>1073</v>
      </c>
      <c r="F158" s="608" t="s">
        <v>635</v>
      </c>
      <c r="G158" s="608" t="s">
        <v>640</v>
      </c>
      <c r="H158" s="608" t="s">
        <v>709</v>
      </c>
      <c r="I158" s="608" t="s">
        <v>1073</v>
      </c>
      <c r="BT158" s="608" t="s">
        <v>1232</v>
      </c>
      <c r="BU158" s="608" t="s">
        <v>693</v>
      </c>
      <c r="BV158" s="608" t="s">
        <v>637</v>
      </c>
      <c r="BY158" s="608" t="s">
        <v>697</v>
      </c>
    </row>
    <row r="159" spans="3:77" x14ac:dyDescent="0.35">
      <c r="C159" s="608" t="s">
        <v>1105</v>
      </c>
      <c r="D159" s="608" t="s">
        <v>1105</v>
      </c>
      <c r="F159" s="608" t="s">
        <v>635</v>
      </c>
      <c r="G159" s="608" t="s">
        <v>640</v>
      </c>
      <c r="H159" s="608" t="s">
        <v>709</v>
      </c>
      <c r="I159" s="608" t="s">
        <v>1105</v>
      </c>
      <c r="BT159" s="608" t="s">
        <v>1254</v>
      </c>
      <c r="BU159" s="608" t="s">
        <v>693</v>
      </c>
      <c r="BV159" s="608" t="s">
        <v>637</v>
      </c>
      <c r="BY159" s="608" t="s">
        <v>697</v>
      </c>
    </row>
    <row r="160" spans="3:77" x14ac:dyDescent="0.35">
      <c r="C160" s="608" t="s">
        <v>704</v>
      </c>
      <c r="D160" s="608" t="s">
        <v>704</v>
      </c>
      <c r="F160" s="608" t="s">
        <v>635</v>
      </c>
      <c r="G160" s="608" t="s">
        <v>642</v>
      </c>
      <c r="H160" s="608" t="s">
        <v>709</v>
      </c>
      <c r="I160" s="608" t="s">
        <v>704</v>
      </c>
      <c r="BT160" s="608" t="s">
        <v>700</v>
      </c>
      <c r="BU160" s="608" t="s">
        <v>693</v>
      </c>
      <c r="BV160" s="608" t="s">
        <v>638</v>
      </c>
      <c r="BY160" s="608" t="s">
        <v>697</v>
      </c>
    </row>
    <row r="161" spans="3:77" x14ac:dyDescent="0.35">
      <c r="C161" s="608" t="s">
        <v>754</v>
      </c>
      <c r="D161" s="608" t="s">
        <v>754</v>
      </c>
      <c r="F161" s="608" t="s">
        <v>635</v>
      </c>
      <c r="G161" s="608" t="s">
        <v>642</v>
      </c>
      <c r="H161" s="608" t="s">
        <v>709</v>
      </c>
      <c r="I161" s="608" t="s">
        <v>754</v>
      </c>
      <c r="BT161" s="608" t="s">
        <v>1469</v>
      </c>
      <c r="BU161" s="608" t="s">
        <v>693</v>
      </c>
      <c r="BV161" s="608" t="s">
        <v>638</v>
      </c>
      <c r="BY161" s="608" t="s">
        <v>697</v>
      </c>
    </row>
    <row r="162" spans="3:77" x14ac:dyDescent="0.35">
      <c r="C162" s="608" t="s">
        <v>642</v>
      </c>
      <c r="D162" s="608" t="s">
        <v>642</v>
      </c>
      <c r="F162" s="608" t="s">
        <v>635</v>
      </c>
      <c r="G162" s="608" t="s">
        <v>642</v>
      </c>
      <c r="H162" s="608" t="s">
        <v>709</v>
      </c>
      <c r="I162" s="608" t="s">
        <v>642</v>
      </c>
      <c r="BT162" s="608" t="s">
        <v>1471</v>
      </c>
      <c r="BU162" s="608" t="s">
        <v>693</v>
      </c>
      <c r="BV162" s="608" t="s">
        <v>638</v>
      </c>
      <c r="BY162" s="608" t="s">
        <v>697</v>
      </c>
    </row>
    <row r="163" spans="3:77" x14ac:dyDescent="0.35">
      <c r="C163" s="608" t="s">
        <v>1470</v>
      </c>
      <c r="D163" s="608" t="s">
        <v>1470</v>
      </c>
      <c r="F163" s="608" t="s">
        <v>635</v>
      </c>
      <c r="G163" s="608" t="s">
        <v>642</v>
      </c>
      <c r="H163" s="608" t="s">
        <v>709</v>
      </c>
      <c r="I163" s="608" t="s">
        <v>1470</v>
      </c>
      <c r="BT163" s="608" t="s">
        <v>1472</v>
      </c>
      <c r="BU163" s="608" t="s">
        <v>693</v>
      </c>
      <c r="BV163" s="608" t="s">
        <v>638</v>
      </c>
      <c r="BY163" s="608" t="s">
        <v>697</v>
      </c>
    </row>
    <row r="164" spans="3:77" x14ac:dyDescent="0.35">
      <c r="C164" s="608" t="s">
        <v>883</v>
      </c>
      <c r="D164" s="608" t="s">
        <v>883</v>
      </c>
      <c r="F164" s="608" t="s">
        <v>635</v>
      </c>
      <c r="G164" s="608" t="s">
        <v>642</v>
      </c>
      <c r="H164" s="608" t="s">
        <v>709</v>
      </c>
      <c r="I164" s="608" t="s">
        <v>883</v>
      </c>
      <c r="BT164" s="608" t="s">
        <v>1473</v>
      </c>
      <c r="BU164" s="608" t="s">
        <v>693</v>
      </c>
      <c r="BV164" s="608" t="s">
        <v>638</v>
      </c>
      <c r="BY164" s="608" t="s">
        <v>697</v>
      </c>
    </row>
    <row r="165" spans="3:77" x14ac:dyDescent="0.35">
      <c r="C165" s="608" t="s">
        <v>920</v>
      </c>
      <c r="D165" s="608" t="s">
        <v>920</v>
      </c>
      <c r="F165" s="608" t="s">
        <v>635</v>
      </c>
      <c r="G165" s="608" t="s">
        <v>642</v>
      </c>
      <c r="H165" s="608" t="s">
        <v>709</v>
      </c>
      <c r="I165" s="608" t="s">
        <v>920</v>
      </c>
      <c r="BT165" s="608" t="s">
        <v>1474</v>
      </c>
      <c r="BU165" s="608" t="s">
        <v>693</v>
      </c>
      <c r="BV165" s="608" t="s">
        <v>638</v>
      </c>
      <c r="BY165" s="608" t="s">
        <v>697</v>
      </c>
    </row>
    <row r="166" spans="3:77" x14ac:dyDescent="0.35">
      <c r="C166" s="608" t="s">
        <v>987</v>
      </c>
      <c r="D166" s="608" t="s">
        <v>987</v>
      </c>
      <c r="F166" s="608" t="s">
        <v>635</v>
      </c>
      <c r="G166" s="608" t="s">
        <v>642</v>
      </c>
      <c r="H166" s="608" t="s">
        <v>709</v>
      </c>
      <c r="I166" s="608" t="s">
        <v>987</v>
      </c>
      <c r="BT166" s="608" t="s">
        <v>847</v>
      </c>
      <c r="BU166" s="608" t="s">
        <v>693</v>
      </c>
      <c r="BV166" s="608" t="s">
        <v>638</v>
      </c>
      <c r="BY166" s="608" t="s">
        <v>697</v>
      </c>
    </row>
    <row r="167" spans="3:77" x14ac:dyDescent="0.35">
      <c r="C167" s="608" t="s">
        <v>1019</v>
      </c>
      <c r="D167" s="608" t="s">
        <v>1019</v>
      </c>
      <c r="F167" s="608" t="s">
        <v>635</v>
      </c>
      <c r="G167" s="608" t="s">
        <v>642</v>
      </c>
      <c r="H167" s="608" t="s">
        <v>709</v>
      </c>
      <c r="I167" s="608" t="s">
        <v>1019</v>
      </c>
      <c r="BT167" s="608" t="s">
        <v>1475</v>
      </c>
      <c r="BU167" s="608" t="s">
        <v>693</v>
      </c>
      <c r="BV167" s="608" t="s">
        <v>638</v>
      </c>
      <c r="BY167" s="608" t="s">
        <v>697</v>
      </c>
    </row>
    <row r="168" spans="3:77" x14ac:dyDescent="0.35">
      <c r="C168" s="608" t="s">
        <v>1052</v>
      </c>
      <c r="D168" s="608" t="s">
        <v>1052</v>
      </c>
      <c r="F168" s="608" t="s">
        <v>635</v>
      </c>
      <c r="G168" s="608" t="s">
        <v>642</v>
      </c>
      <c r="H168" s="608" t="s">
        <v>709</v>
      </c>
      <c r="I168" s="608" t="s">
        <v>1052</v>
      </c>
      <c r="BT168" s="608" t="s">
        <v>1476</v>
      </c>
      <c r="BU168" s="608" t="s">
        <v>693</v>
      </c>
      <c r="BV168" s="608" t="s">
        <v>638</v>
      </c>
      <c r="BY168" s="608" t="s">
        <v>697</v>
      </c>
    </row>
    <row r="169" spans="3:77" x14ac:dyDescent="0.35">
      <c r="C169" s="608" t="s">
        <v>1085</v>
      </c>
      <c r="D169" s="608" t="s">
        <v>1085</v>
      </c>
      <c r="F169" s="608" t="s">
        <v>635</v>
      </c>
      <c r="G169" s="608" t="s">
        <v>642</v>
      </c>
      <c r="H169" s="608" t="s">
        <v>709</v>
      </c>
      <c r="I169" s="608" t="s">
        <v>1085</v>
      </c>
      <c r="BT169" s="608" t="s">
        <v>1477</v>
      </c>
      <c r="BU169" s="608" t="s">
        <v>693</v>
      </c>
      <c r="BV169" s="608" t="s">
        <v>638</v>
      </c>
      <c r="BY169" s="608" t="s">
        <v>697</v>
      </c>
    </row>
    <row r="170" spans="3:77" x14ac:dyDescent="0.35">
      <c r="C170" s="608" t="s">
        <v>1118</v>
      </c>
      <c r="D170" s="608" t="s">
        <v>1118</v>
      </c>
      <c r="F170" s="608" t="s">
        <v>635</v>
      </c>
      <c r="G170" s="608" t="s">
        <v>642</v>
      </c>
      <c r="H170" s="608" t="s">
        <v>709</v>
      </c>
      <c r="I170" s="608" t="s">
        <v>1118</v>
      </c>
      <c r="BT170" s="608" t="s">
        <v>1478</v>
      </c>
      <c r="BU170" s="608" t="s">
        <v>693</v>
      </c>
      <c r="BV170" s="608" t="s">
        <v>638</v>
      </c>
      <c r="BY170" s="608" t="s">
        <v>697</v>
      </c>
    </row>
    <row r="171" spans="3:77" x14ac:dyDescent="0.35">
      <c r="C171" s="608" t="s">
        <v>1145</v>
      </c>
      <c r="D171" s="608" t="s">
        <v>1145</v>
      </c>
      <c r="F171" s="608" t="s">
        <v>635</v>
      </c>
      <c r="G171" s="608" t="s">
        <v>642</v>
      </c>
      <c r="H171" s="608" t="s">
        <v>709</v>
      </c>
      <c r="I171" s="608" t="s">
        <v>1145</v>
      </c>
      <c r="BT171" s="608" t="s">
        <v>1479</v>
      </c>
      <c r="BU171" s="608" t="s">
        <v>693</v>
      </c>
      <c r="BV171" s="608" t="s">
        <v>638</v>
      </c>
      <c r="BY171" s="608" t="s">
        <v>697</v>
      </c>
    </row>
    <row r="172" spans="3:77" x14ac:dyDescent="0.35">
      <c r="C172" s="608" t="s">
        <v>1169</v>
      </c>
      <c r="D172" s="608" t="s">
        <v>1169</v>
      </c>
      <c r="F172" s="608" t="s">
        <v>635</v>
      </c>
      <c r="G172" s="608" t="s">
        <v>642</v>
      </c>
      <c r="H172" s="608" t="s">
        <v>709</v>
      </c>
      <c r="I172" s="608" t="s">
        <v>1169</v>
      </c>
      <c r="BT172" s="608" t="s">
        <v>1480</v>
      </c>
      <c r="BU172" s="608" t="s">
        <v>693</v>
      </c>
      <c r="BV172" s="608" t="s">
        <v>638</v>
      </c>
      <c r="BY172" s="608" t="s">
        <v>697</v>
      </c>
    </row>
    <row r="173" spans="3:77" x14ac:dyDescent="0.35">
      <c r="C173" s="608" t="s">
        <v>1268</v>
      </c>
      <c r="D173" s="608" t="s">
        <v>1268</v>
      </c>
      <c r="F173" s="608" t="s">
        <v>635</v>
      </c>
      <c r="G173" s="608" t="s">
        <v>642</v>
      </c>
      <c r="H173" s="608" t="s">
        <v>709</v>
      </c>
      <c r="I173" s="608" t="s">
        <v>1268</v>
      </c>
      <c r="BT173" s="608" t="s">
        <v>1481</v>
      </c>
      <c r="BU173" s="608" t="s">
        <v>693</v>
      </c>
      <c r="BV173" s="608" t="s">
        <v>638</v>
      </c>
      <c r="BY173" s="608" t="s">
        <v>709</v>
      </c>
    </row>
    <row r="174" spans="3:77" x14ac:dyDescent="0.35">
      <c r="C174" s="608" t="s">
        <v>1283</v>
      </c>
      <c r="D174" s="608" t="s">
        <v>1283</v>
      </c>
      <c r="F174" s="608" t="s">
        <v>635</v>
      </c>
      <c r="G174" s="608" t="s">
        <v>642</v>
      </c>
      <c r="H174" s="608" t="s">
        <v>709</v>
      </c>
      <c r="I174" s="608" t="s">
        <v>1283</v>
      </c>
      <c r="BT174" s="608" t="s">
        <v>638</v>
      </c>
      <c r="BU174" s="608" t="s">
        <v>693</v>
      </c>
      <c r="BV174" s="608" t="s">
        <v>638</v>
      </c>
      <c r="BX174" s="608">
        <v>1</v>
      </c>
      <c r="BY174" s="608" t="s">
        <v>697</v>
      </c>
    </row>
    <row r="175" spans="3:77" x14ac:dyDescent="0.35">
      <c r="C175" s="608" t="s">
        <v>1299</v>
      </c>
      <c r="D175" s="608" t="s">
        <v>1299</v>
      </c>
      <c r="F175" s="608" t="s">
        <v>635</v>
      </c>
      <c r="G175" s="608" t="s">
        <v>642</v>
      </c>
      <c r="H175" s="608" t="s">
        <v>709</v>
      </c>
      <c r="I175" s="608" t="s">
        <v>1299</v>
      </c>
      <c r="BT175" s="608" t="s">
        <v>922</v>
      </c>
      <c r="BU175" s="608" t="s">
        <v>693</v>
      </c>
      <c r="BV175" s="608" t="s">
        <v>638</v>
      </c>
      <c r="BY175" s="608" t="s">
        <v>697</v>
      </c>
    </row>
    <row r="176" spans="3:77" x14ac:dyDescent="0.35">
      <c r="C176" s="608" t="s">
        <v>1317</v>
      </c>
      <c r="D176" s="608" t="s">
        <v>1317</v>
      </c>
      <c r="F176" s="608" t="s">
        <v>635</v>
      </c>
      <c r="G176" s="608" t="s">
        <v>642</v>
      </c>
      <c r="H176" s="608" t="s">
        <v>709</v>
      </c>
      <c r="I176" s="608" t="s">
        <v>1317</v>
      </c>
      <c r="BT176" s="608" t="s">
        <v>1482</v>
      </c>
      <c r="BU176" s="608" t="s">
        <v>693</v>
      </c>
      <c r="BV176" s="608" t="s">
        <v>638</v>
      </c>
      <c r="BY176" s="608" t="s">
        <v>697</v>
      </c>
    </row>
    <row r="177" spans="3:77" x14ac:dyDescent="0.35">
      <c r="C177" s="608" t="s">
        <v>741</v>
      </c>
      <c r="D177" s="608" t="s">
        <v>741</v>
      </c>
      <c r="F177" s="608" t="s">
        <v>634</v>
      </c>
      <c r="G177" s="608" t="s">
        <v>689</v>
      </c>
      <c r="H177" s="608" t="s">
        <v>709</v>
      </c>
      <c r="I177" s="608" t="s">
        <v>741</v>
      </c>
      <c r="BT177" s="608" t="s">
        <v>804</v>
      </c>
      <c r="BU177" s="608" t="s">
        <v>693</v>
      </c>
      <c r="BV177" s="608" t="s">
        <v>638</v>
      </c>
      <c r="BY177" s="608" t="s">
        <v>697</v>
      </c>
    </row>
    <row r="178" spans="3:77" x14ac:dyDescent="0.35">
      <c r="C178" s="608" t="s">
        <v>790</v>
      </c>
      <c r="D178" s="608" t="s">
        <v>790</v>
      </c>
      <c r="F178" s="608" t="s">
        <v>634</v>
      </c>
      <c r="G178" s="608" t="s">
        <v>689</v>
      </c>
      <c r="H178" s="608" t="s">
        <v>709</v>
      </c>
      <c r="I178" s="608" t="s">
        <v>790</v>
      </c>
      <c r="BT178" s="608" t="s">
        <v>1483</v>
      </c>
      <c r="BU178" s="608" t="s">
        <v>693</v>
      </c>
      <c r="BV178" s="608" t="s">
        <v>694</v>
      </c>
      <c r="BY178" s="608" t="s">
        <v>697</v>
      </c>
    </row>
    <row r="179" spans="3:77" x14ac:dyDescent="0.35">
      <c r="C179" s="608" t="s">
        <v>834</v>
      </c>
      <c r="D179" s="608" t="s">
        <v>834</v>
      </c>
      <c r="F179" s="608" t="s">
        <v>634</v>
      </c>
      <c r="G179" s="608" t="s">
        <v>689</v>
      </c>
      <c r="H179" s="608" t="s">
        <v>709</v>
      </c>
      <c r="I179" s="608" t="s">
        <v>834</v>
      </c>
      <c r="BT179" s="608" t="s">
        <v>840</v>
      </c>
      <c r="BU179" s="608" t="s">
        <v>693</v>
      </c>
      <c r="BV179" s="608" t="s">
        <v>694</v>
      </c>
      <c r="BW179" s="608" t="s">
        <v>709</v>
      </c>
      <c r="BX179" s="608">
        <v>1</v>
      </c>
      <c r="BY179" s="608" t="s">
        <v>697</v>
      </c>
    </row>
    <row r="180" spans="3:77" x14ac:dyDescent="0.35">
      <c r="C180" s="608" t="s">
        <v>873</v>
      </c>
      <c r="D180" s="608" t="s">
        <v>873</v>
      </c>
      <c r="F180" s="608" t="s">
        <v>634</v>
      </c>
      <c r="G180" s="608" t="s">
        <v>689</v>
      </c>
      <c r="H180" s="608" t="s">
        <v>709</v>
      </c>
      <c r="I180" s="608" t="s">
        <v>873</v>
      </c>
      <c r="BT180" s="608" t="s">
        <v>1014</v>
      </c>
      <c r="BU180" s="608" t="s">
        <v>693</v>
      </c>
      <c r="BV180" s="608" t="s">
        <v>694</v>
      </c>
      <c r="BX180" s="608">
        <v>1</v>
      </c>
      <c r="BY180" s="608" t="s">
        <v>697</v>
      </c>
    </row>
    <row r="181" spans="3:77" x14ac:dyDescent="0.35">
      <c r="C181" s="608" t="s">
        <v>910</v>
      </c>
      <c r="D181" s="608" t="s">
        <v>910</v>
      </c>
      <c r="F181" s="608" t="s">
        <v>634</v>
      </c>
      <c r="G181" s="608" t="s">
        <v>689</v>
      </c>
      <c r="H181" s="608" t="s">
        <v>709</v>
      </c>
      <c r="I181" s="608" t="s">
        <v>910</v>
      </c>
      <c r="BT181" s="608" t="s">
        <v>1484</v>
      </c>
      <c r="BU181" s="608" t="s">
        <v>693</v>
      </c>
      <c r="BV181" s="608" t="s">
        <v>694</v>
      </c>
      <c r="BY181" s="608" t="s">
        <v>697</v>
      </c>
    </row>
    <row r="182" spans="3:77" x14ac:dyDescent="0.35">
      <c r="C182" s="608" t="s">
        <v>943</v>
      </c>
      <c r="D182" s="608" t="s">
        <v>943</v>
      </c>
      <c r="F182" s="608" t="s">
        <v>634</v>
      </c>
      <c r="G182" s="608" t="s">
        <v>689</v>
      </c>
      <c r="H182" s="608" t="s">
        <v>709</v>
      </c>
      <c r="I182" s="608" t="s">
        <v>943</v>
      </c>
      <c r="BT182" s="608" t="s">
        <v>1080</v>
      </c>
      <c r="BU182" s="608" t="s">
        <v>693</v>
      </c>
      <c r="BV182" s="608" t="s">
        <v>694</v>
      </c>
      <c r="BX182" s="608">
        <v>1</v>
      </c>
      <c r="BY182" s="608" t="s">
        <v>697</v>
      </c>
    </row>
    <row r="183" spans="3:77" x14ac:dyDescent="0.35">
      <c r="C183" s="608" t="s">
        <v>976</v>
      </c>
      <c r="D183" s="608" t="s">
        <v>976</v>
      </c>
      <c r="F183" s="608" t="s">
        <v>634</v>
      </c>
      <c r="G183" s="608" t="s">
        <v>689</v>
      </c>
      <c r="H183" s="608" t="s">
        <v>709</v>
      </c>
      <c r="I183" s="608" t="s">
        <v>976</v>
      </c>
      <c r="BT183" s="608" t="s">
        <v>1485</v>
      </c>
      <c r="BU183" s="608" t="s">
        <v>693</v>
      </c>
      <c r="BV183" s="608" t="s">
        <v>694</v>
      </c>
      <c r="BY183" s="608" t="s">
        <v>697</v>
      </c>
    </row>
    <row r="184" spans="3:77" x14ac:dyDescent="0.35">
      <c r="C184" s="608" t="s">
        <v>1011</v>
      </c>
      <c r="D184" s="608" t="s">
        <v>1011</v>
      </c>
      <c r="F184" s="608" t="s">
        <v>634</v>
      </c>
      <c r="G184" s="608" t="s">
        <v>689</v>
      </c>
      <c r="H184" s="608" t="s">
        <v>709</v>
      </c>
      <c r="I184" s="608" t="s">
        <v>1011</v>
      </c>
      <c r="BT184" s="608" t="s">
        <v>1188</v>
      </c>
      <c r="BU184" s="608" t="s">
        <v>693</v>
      </c>
      <c r="BV184" s="608" t="s">
        <v>694</v>
      </c>
      <c r="BX184" s="608">
        <v>1</v>
      </c>
      <c r="BY184" s="608" t="s">
        <v>697</v>
      </c>
    </row>
    <row r="185" spans="3:77" x14ac:dyDescent="0.35">
      <c r="C185" s="608" t="s">
        <v>1043</v>
      </c>
      <c r="D185" s="608" t="s">
        <v>1043</v>
      </c>
      <c r="F185" s="608" t="s">
        <v>634</v>
      </c>
      <c r="G185" s="608" t="s">
        <v>689</v>
      </c>
      <c r="H185" s="608" t="s">
        <v>709</v>
      </c>
      <c r="I185" s="608" t="s">
        <v>1043</v>
      </c>
      <c r="BT185" s="608" t="s">
        <v>1486</v>
      </c>
      <c r="BU185" s="608" t="s">
        <v>693</v>
      </c>
      <c r="BV185" s="608" t="s">
        <v>694</v>
      </c>
      <c r="BY185" s="608" t="s">
        <v>697</v>
      </c>
    </row>
    <row r="186" spans="3:77" x14ac:dyDescent="0.35">
      <c r="C186" s="608" t="s">
        <v>1075</v>
      </c>
      <c r="D186" s="608" t="s">
        <v>1075</v>
      </c>
      <c r="F186" s="608" t="s">
        <v>634</v>
      </c>
      <c r="G186" s="608" t="s">
        <v>689</v>
      </c>
      <c r="H186" s="608" t="s">
        <v>709</v>
      </c>
      <c r="I186" s="608" t="s">
        <v>1075</v>
      </c>
    </row>
    <row r="187" spans="3:77" x14ac:dyDescent="0.35">
      <c r="C187" s="608" t="s">
        <v>1107</v>
      </c>
      <c r="D187" s="608" t="s">
        <v>1107</v>
      </c>
      <c r="F187" s="608" t="s">
        <v>634</v>
      </c>
      <c r="G187" s="608" t="s">
        <v>689</v>
      </c>
      <c r="H187" s="608" t="s">
        <v>709</v>
      </c>
      <c r="I187" s="608" t="s">
        <v>1107</v>
      </c>
    </row>
    <row r="188" spans="3:77" x14ac:dyDescent="0.35">
      <c r="C188" s="608" t="s">
        <v>1138</v>
      </c>
      <c r="D188" s="608" t="s">
        <v>1138</v>
      </c>
      <c r="F188" s="608" t="s">
        <v>634</v>
      </c>
      <c r="G188" s="608" t="s">
        <v>689</v>
      </c>
      <c r="H188" s="608" t="s">
        <v>709</v>
      </c>
      <c r="I188" s="608" t="s">
        <v>1138</v>
      </c>
    </row>
    <row r="189" spans="3:77" x14ac:dyDescent="0.35">
      <c r="C189" s="608" t="s">
        <v>1163</v>
      </c>
      <c r="D189" s="608" t="s">
        <v>1163</v>
      </c>
      <c r="F189" s="608" t="s">
        <v>634</v>
      </c>
      <c r="G189" s="608" t="s">
        <v>689</v>
      </c>
      <c r="H189" s="608" t="s">
        <v>709</v>
      </c>
      <c r="I189" s="608" t="s">
        <v>1163</v>
      </c>
    </row>
    <row r="190" spans="3:77" x14ac:dyDescent="0.35">
      <c r="C190" s="608" t="s">
        <v>689</v>
      </c>
      <c r="D190" s="608" t="s">
        <v>689</v>
      </c>
      <c r="F190" s="608" t="s">
        <v>634</v>
      </c>
      <c r="G190" s="608" t="s">
        <v>689</v>
      </c>
      <c r="H190" s="608" t="s">
        <v>709</v>
      </c>
      <c r="I190" s="608" t="s">
        <v>689</v>
      </c>
    </row>
    <row r="191" spans="3:77" x14ac:dyDescent="0.35">
      <c r="C191" s="608" t="s">
        <v>701</v>
      </c>
      <c r="D191" s="608" t="s">
        <v>701</v>
      </c>
      <c r="F191" s="608" t="s">
        <v>634</v>
      </c>
      <c r="G191" s="608" t="s">
        <v>639</v>
      </c>
      <c r="H191" s="608" t="s">
        <v>709</v>
      </c>
      <c r="I191" s="608" t="s">
        <v>701</v>
      </c>
    </row>
    <row r="192" spans="3:77" x14ac:dyDescent="0.35">
      <c r="C192" s="608" t="s">
        <v>752</v>
      </c>
      <c r="D192" s="608" t="s">
        <v>752</v>
      </c>
      <c r="F192" s="608" t="s">
        <v>634</v>
      </c>
      <c r="G192" s="608" t="s">
        <v>639</v>
      </c>
      <c r="H192" s="608" t="s">
        <v>709</v>
      </c>
      <c r="I192" s="608" t="s">
        <v>752</v>
      </c>
    </row>
    <row r="193" spans="3:9" x14ac:dyDescent="0.35">
      <c r="C193" s="608" t="s">
        <v>844</v>
      </c>
      <c r="D193" s="608" t="s">
        <v>844</v>
      </c>
      <c r="F193" s="608" t="s">
        <v>634</v>
      </c>
      <c r="G193" s="608" t="s">
        <v>639</v>
      </c>
      <c r="H193" s="608" t="s">
        <v>709</v>
      </c>
      <c r="I193" s="608" t="s">
        <v>844</v>
      </c>
    </row>
    <row r="194" spans="3:9" x14ac:dyDescent="0.35">
      <c r="C194" s="608" t="s">
        <v>919</v>
      </c>
      <c r="D194" s="608" t="s">
        <v>919</v>
      </c>
      <c r="F194" s="608" t="s">
        <v>634</v>
      </c>
      <c r="G194" s="608" t="s">
        <v>639</v>
      </c>
      <c r="H194" s="608" t="s">
        <v>709</v>
      </c>
      <c r="I194" s="608" t="s">
        <v>919</v>
      </c>
    </row>
    <row r="195" spans="3:9" x14ac:dyDescent="0.35">
      <c r="C195" s="608" t="s">
        <v>1487</v>
      </c>
      <c r="D195" s="608" t="s">
        <v>1487</v>
      </c>
      <c r="F195" s="608" t="s">
        <v>634</v>
      </c>
      <c r="G195" s="608" t="s">
        <v>639</v>
      </c>
      <c r="H195" s="608" t="s">
        <v>709</v>
      </c>
      <c r="I195" s="608" t="s">
        <v>1487</v>
      </c>
    </row>
    <row r="196" spans="3:9" x14ac:dyDescent="0.35">
      <c r="C196" s="608" t="s">
        <v>977</v>
      </c>
      <c r="D196" s="608" t="s">
        <v>977</v>
      </c>
      <c r="F196" s="608" t="s">
        <v>634</v>
      </c>
      <c r="G196" s="608" t="s">
        <v>639</v>
      </c>
      <c r="H196" s="608" t="s">
        <v>709</v>
      </c>
      <c r="I196" s="608" t="s">
        <v>977</v>
      </c>
    </row>
    <row r="197" spans="3:9" x14ac:dyDescent="0.35">
      <c r="C197" s="608" t="s">
        <v>986</v>
      </c>
      <c r="D197" s="608" t="s">
        <v>986</v>
      </c>
      <c r="F197" s="608" t="s">
        <v>634</v>
      </c>
      <c r="G197" s="608" t="s">
        <v>639</v>
      </c>
      <c r="H197" s="608" t="s">
        <v>709</v>
      </c>
      <c r="I197" s="608" t="s">
        <v>986</v>
      </c>
    </row>
    <row r="198" spans="3:9" x14ac:dyDescent="0.35">
      <c r="C198" s="608" t="s">
        <v>1018</v>
      </c>
      <c r="D198" s="608" t="s">
        <v>1018</v>
      </c>
      <c r="F198" s="608" t="s">
        <v>634</v>
      </c>
      <c r="G198" s="608" t="s">
        <v>639</v>
      </c>
      <c r="H198" s="608" t="s">
        <v>709</v>
      </c>
      <c r="I198" s="608" t="s">
        <v>1018</v>
      </c>
    </row>
    <row r="199" spans="3:9" x14ac:dyDescent="0.35">
      <c r="C199" s="608" t="s">
        <v>1108</v>
      </c>
      <c r="D199" s="608" t="s">
        <v>1108</v>
      </c>
      <c r="F199" s="608" t="s">
        <v>634</v>
      </c>
      <c r="G199" s="608" t="s">
        <v>639</v>
      </c>
      <c r="H199" s="608" t="s">
        <v>709</v>
      </c>
      <c r="I199" s="608" t="s">
        <v>1108</v>
      </c>
    </row>
    <row r="200" spans="3:9" x14ac:dyDescent="0.35">
      <c r="C200" s="608" t="s">
        <v>1488</v>
      </c>
      <c r="D200" s="608" t="s">
        <v>1488</v>
      </c>
      <c r="F200" s="608" t="s">
        <v>634</v>
      </c>
      <c r="G200" s="608" t="s">
        <v>639</v>
      </c>
      <c r="H200" s="608" t="s">
        <v>709</v>
      </c>
      <c r="I200" s="608" t="s">
        <v>1488</v>
      </c>
    </row>
    <row r="201" spans="3:9" x14ac:dyDescent="0.35">
      <c r="C201" s="608" t="s">
        <v>1139</v>
      </c>
      <c r="D201" s="608" t="s">
        <v>1139</v>
      </c>
      <c r="F201" s="608" t="s">
        <v>634</v>
      </c>
      <c r="G201" s="608" t="s">
        <v>639</v>
      </c>
      <c r="H201" s="608" t="s">
        <v>709</v>
      </c>
      <c r="I201" s="608" t="s">
        <v>1139</v>
      </c>
    </row>
    <row r="202" spans="3:9" x14ac:dyDescent="0.35">
      <c r="C202" s="608" t="s">
        <v>1021</v>
      </c>
      <c r="D202" s="608" t="s">
        <v>1021</v>
      </c>
      <c r="F202" s="608" t="s">
        <v>634</v>
      </c>
      <c r="G202" s="608" t="s">
        <v>639</v>
      </c>
      <c r="H202" s="608" t="s">
        <v>709</v>
      </c>
      <c r="I202" s="608" t="s">
        <v>1021</v>
      </c>
    </row>
    <row r="203" spans="3:9" x14ac:dyDescent="0.35">
      <c r="C203" s="608" t="s">
        <v>1186</v>
      </c>
      <c r="D203" s="608" t="s">
        <v>1186</v>
      </c>
      <c r="F203" s="608" t="s">
        <v>634</v>
      </c>
      <c r="G203" s="608" t="s">
        <v>639</v>
      </c>
      <c r="H203" s="608" t="s">
        <v>709</v>
      </c>
      <c r="I203" s="608" t="s">
        <v>1186</v>
      </c>
    </row>
    <row r="204" spans="3:9" x14ac:dyDescent="0.35">
      <c r="C204" s="608" t="s">
        <v>1084</v>
      </c>
      <c r="D204" s="608" t="s">
        <v>1084</v>
      </c>
      <c r="F204" s="608" t="s">
        <v>634</v>
      </c>
      <c r="G204" s="608" t="s">
        <v>639</v>
      </c>
      <c r="H204" s="608" t="s">
        <v>709</v>
      </c>
      <c r="I204" s="608" t="s">
        <v>1084</v>
      </c>
    </row>
    <row r="205" spans="3:9" x14ac:dyDescent="0.35">
      <c r="C205" s="608" t="s">
        <v>1229</v>
      </c>
      <c r="D205" s="608" t="s">
        <v>1229</v>
      </c>
      <c r="F205" s="608" t="s">
        <v>634</v>
      </c>
      <c r="G205" s="608" t="s">
        <v>639</v>
      </c>
      <c r="H205" s="608" t="s">
        <v>709</v>
      </c>
      <c r="I205" s="608" t="s">
        <v>1229</v>
      </c>
    </row>
    <row r="206" spans="3:9" x14ac:dyDescent="0.35">
      <c r="C206" s="608" t="s">
        <v>1250</v>
      </c>
      <c r="D206" s="608" t="s">
        <v>1250</v>
      </c>
      <c r="F206" s="608" t="s">
        <v>634</v>
      </c>
      <c r="G206" s="608" t="s">
        <v>639</v>
      </c>
      <c r="H206" s="608" t="s">
        <v>709</v>
      </c>
      <c r="I206" s="608" t="s">
        <v>1250</v>
      </c>
    </row>
    <row r="207" spans="3:9" x14ac:dyDescent="0.35">
      <c r="C207" s="608" t="s">
        <v>1489</v>
      </c>
      <c r="D207" s="608" t="s">
        <v>1489</v>
      </c>
      <c r="F207" s="608" t="s">
        <v>634</v>
      </c>
      <c r="G207" s="608" t="s">
        <v>639</v>
      </c>
      <c r="H207" s="608" t="s">
        <v>709</v>
      </c>
      <c r="I207" s="608" t="s">
        <v>1489</v>
      </c>
    </row>
    <row r="208" spans="3:9" x14ac:dyDescent="0.35">
      <c r="C208" s="608" t="s">
        <v>1087</v>
      </c>
      <c r="D208" s="608" t="s">
        <v>1087</v>
      </c>
      <c r="F208" s="608" t="s">
        <v>634</v>
      </c>
      <c r="G208" s="608" t="s">
        <v>639</v>
      </c>
      <c r="H208" s="608" t="s">
        <v>709</v>
      </c>
      <c r="I208" s="608" t="s">
        <v>1087</v>
      </c>
    </row>
    <row r="209" spans="3:9" x14ac:dyDescent="0.35">
      <c r="C209" s="608" t="s">
        <v>639</v>
      </c>
      <c r="D209" s="608" t="s">
        <v>639</v>
      </c>
      <c r="F209" s="608" t="s">
        <v>634</v>
      </c>
      <c r="G209" s="608" t="s">
        <v>639</v>
      </c>
      <c r="H209" s="608" t="s">
        <v>709</v>
      </c>
      <c r="I209" s="608" t="s">
        <v>639</v>
      </c>
    </row>
    <row r="210" spans="3:9" x14ac:dyDescent="0.35">
      <c r="C210" s="608" t="s">
        <v>1490</v>
      </c>
      <c r="D210" s="608" t="s">
        <v>1490</v>
      </c>
      <c r="F210" s="608" t="s">
        <v>634</v>
      </c>
      <c r="G210" s="608" t="s">
        <v>639</v>
      </c>
      <c r="H210" s="608" t="s">
        <v>709</v>
      </c>
      <c r="I210" s="608" t="s">
        <v>1490</v>
      </c>
    </row>
    <row r="211" spans="3:9" x14ac:dyDescent="0.35">
      <c r="C211" s="608" t="s">
        <v>1491</v>
      </c>
      <c r="D211" s="608" t="s">
        <v>1491</v>
      </c>
      <c r="F211" s="608" t="s">
        <v>634</v>
      </c>
      <c r="G211" s="608" t="s">
        <v>639</v>
      </c>
      <c r="H211" s="608" t="s">
        <v>709</v>
      </c>
      <c r="I211" s="608" t="s">
        <v>1491</v>
      </c>
    </row>
    <row r="212" spans="3:9" x14ac:dyDescent="0.35">
      <c r="C212" s="608" t="s">
        <v>1296</v>
      </c>
      <c r="D212" s="608" t="s">
        <v>1296</v>
      </c>
      <c r="F212" s="608" t="s">
        <v>634</v>
      </c>
      <c r="G212" s="608" t="s">
        <v>639</v>
      </c>
      <c r="H212" s="608" t="s">
        <v>709</v>
      </c>
      <c r="I212" s="608" t="s">
        <v>1296</v>
      </c>
    </row>
    <row r="213" spans="3:9" x14ac:dyDescent="0.35">
      <c r="C213" s="608" t="s">
        <v>1314</v>
      </c>
      <c r="D213" s="608" t="s">
        <v>1314</v>
      </c>
      <c r="F213" s="608" t="s">
        <v>634</v>
      </c>
      <c r="G213" s="608" t="s">
        <v>639</v>
      </c>
      <c r="H213" s="608" t="s">
        <v>709</v>
      </c>
      <c r="I213" s="608" t="s">
        <v>1314</v>
      </c>
    </row>
    <row r="214" spans="3:9" x14ac:dyDescent="0.35">
      <c r="C214" s="608" t="s">
        <v>1329</v>
      </c>
      <c r="D214" s="608" t="s">
        <v>1329</v>
      </c>
      <c r="F214" s="608" t="s">
        <v>634</v>
      </c>
      <c r="G214" s="608" t="s">
        <v>639</v>
      </c>
      <c r="H214" s="608" t="s">
        <v>709</v>
      </c>
      <c r="I214" s="608" t="s">
        <v>1329</v>
      </c>
    </row>
    <row r="215" spans="3:9" x14ac:dyDescent="0.35">
      <c r="C215" s="608" t="s">
        <v>1342</v>
      </c>
      <c r="D215" s="608" t="s">
        <v>1342</v>
      </c>
      <c r="F215" s="608" t="s">
        <v>634</v>
      </c>
      <c r="G215" s="608" t="s">
        <v>639</v>
      </c>
      <c r="H215" s="608" t="s">
        <v>709</v>
      </c>
      <c r="I215" s="608" t="s">
        <v>1342</v>
      </c>
    </row>
    <row r="216" spans="3:9" x14ac:dyDescent="0.35">
      <c r="C216" s="608" t="s">
        <v>791</v>
      </c>
      <c r="D216" s="608" t="s">
        <v>791</v>
      </c>
      <c r="F216" s="608" t="s">
        <v>634</v>
      </c>
      <c r="G216" s="608" t="s">
        <v>690</v>
      </c>
      <c r="H216" s="608" t="s">
        <v>709</v>
      </c>
      <c r="I216" s="608" t="s">
        <v>791</v>
      </c>
    </row>
    <row r="217" spans="3:9" x14ac:dyDescent="0.35">
      <c r="C217" s="608" t="s">
        <v>1044</v>
      </c>
      <c r="D217" s="608" t="s">
        <v>1044</v>
      </c>
      <c r="F217" s="608" t="s">
        <v>634</v>
      </c>
      <c r="G217" s="608" t="s">
        <v>690</v>
      </c>
      <c r="H217" s="608" t="s">
        <v>709</v>
      </c>
      <c r="I217" s="608" t="s">
        <v>1044</v>
      </c>
    </row>
    <row r="218" spans="3:9" x14ac:dyDescent="0.35">
      <c r="C218" s="608" t="s">
        <v>1076</v>
      </c>
      <c r="D218" s="608" t="s">
        <v>1076</v>
      </c>
      <c r="F218" s="608" t="s">
        <v>634</v>
      </c>
      <c r="G218" s="608" t="s">
        <v>690</v>
      </c>
      <c r="H218" s="608" t="s">
        <v>709</v>
      </c>
      <c r="I218" s="608" t="s">
        <v>1076</v>
      </c>
    </row>
    <row r="219" spans="3:9" x14ac:dyDescent="0.35">
      <c r="C219" s="608" t="s">
        <v>1109</v>
      </c>
      <c r="D219" s="608" t="s">
        <v>1109</v>
      </c>
      <c r="F219" s="608" t="s">
        <v>634</v>
      </c>
      <c r="G219" s="608" t="s">
        <v>690</v>
      </c>
      <c r="H219" s="608" t="s">
        <v>709</v>
      </c>
      <c r="I219" s="608" t="s">
        <v>1109</v>
      </c>
    </row>
    <row r="220" spans="3:9" x14ac:dyDescent="0.35">
      <c r="C220" s="608" t="s">
        <v>1140</v>
      </c>
      <c r="D220" s="608" t="s">
        <v>1140</v>
      </c>
      <c r="F220" s="608" t="s">
        <v>634</v>
      </c>
      <c r="G220" s="608" t="s">
        <v>690</v>
      </c>
      <c r="H220" s="608" t="s">
        <v>709</v>
      </c>
      <c r="I220" s="608" t="s">
        <v>1140</v>
      </c>
    </row>
    <row r="221" spans="3:9" x14ac:dyDescent="0.35">
      <c r="C221" s="608" t="s">
        <v>743</v>
      </c>
      <c r="D221" s="608" t="s">
        <v>743</v>
      </c>
      <c r="F221" s="608" t="s">
        <v>634</v>
      </c>
      <c r="G221" s="608" t="s">
        <v>691</v>
      </c>
      <c r="H221" s="608" t="s">
        <v>709</v>
      </c>
      <c r="I221" s="608" t="s">
        <v>743</v>
      </c>
    </row>
    <row r="222" spans="3:9" x14ac:dyDescent="0.35">
      <c r="C222" s="608" t="s">
        <v>792</v>
      </c>
      <c r="D222" s="608" t="s">
        <v>792</v>
      </c>
      <c r="F222" s="608" t="s">
        <v>634</v>
      </c>
      <c r="G222" s="608" t="s">
        <v>691</v>
      </c>
      <c r="H222" s="608" t="s">
        <v>709</v>
      </c>
      <c r="I222" s="608" t="s">
        <v>792</v>
      </c>
    </row>
    <row r="223" spans="3:9" x14ac:dyDescent="0.35">
      <c r="C223" s="608" t="s">
        <v>836</v>
      </c>
      <c r="D223" s="608" t="s">
        <v>836</v>
      </c>
      <c r="F223" s="608" t="s">
        <v>634</v>
      </c>
      <c r="G223" s="608" t="s">
        <v>691</v>
      </c>
      <c r="H223" s="608" t="s">
        <v>709</v>
      </c>
      <c r="I223" s="608" t="s">
        <v>836</v>
      </c>
    </row>
    <row r="224" spans="3:9" x14ac:dyDescent="0.35">
      <c r="C224" s="608" t="s">
        <v>875</v>
      </c>
      <c r="D224" s="608" t="s">
        <v>875</v>
      </c>
      <c r="F224" s="608" t="s">
        <v>634</v>
      </c>
      <c r="G224" s="608" t="s">
        <v>691</v>
      </c>
      <c r="H224" s="608" t="s">
        <v>709</v>
      </c>
      <c r="I224" s="608" t="s">
        <v>875</v>
      </c>
    </row>
    <row r="225" spans="3:9" x14ac:dyDescent="0.35">
      <c r="C225" s="608" t="s">
        <v>691</v>
      </c>
      <c r="D225" s="608" t="s">
        <v>691</v>
      </c>
      <c r="F225" s="608" t="s">
        <v>634</v>
      </c>
      <c r="G225" s="608" t="s">
        <v>691</v>
      </c>
      <c r="H225" s="608" t="s">
        <v>709</v>
      </c>
      <c r="I225" s="608" t="s">
        <v>691</v>
      </c>
    </row>
    <row r="226" spans="3:9" x14ac:dyDescent="0.35">
      <c r="C226" s="608" t="s">
        <v>945</v>
      </c>
      <c r="D226" s="608" t="s">
        <v>945</v>
      </c>
      <c r="F226" s="608" t="s">
        <v>634</v>
      </c>
      <c r="G226" s="608" t="s">
        <v>691</v>
      </c>
      <c r="H226" s="608" t="s">
        <v>709</v>
      </c>
      <c r="I226" s="608" t="s">
        <v>945</v>
      </c>
    </row>
    <row r="227" spans="3:9" x14ac:dyDescent="0.35">
      <c r="C227" s="608" t="s">
        <v>979</v>
      </c>
      <c r="D227" s="608" t="s">
        <v>979</v>
      </c>
      <c r="F227" s="608" t="s">
        <v>634</v>
      </c>
      <c r="G227" s="608" t="s">
        <v>691</v>
      </c>
      <c r="H227" s="608" t="s">
        <v>709</v>
      </c>
      <c r="I227" s="608" t="s">
        <v>979</v>
      </c>
    </row>
    <row r="228" spans="3:9" x14ac:dyDescent="0.35">
      <c r="C228" s="608" t="s">
        <v>1012</v>
      </c>
      <c r="D228" s="608" t="s">
        <v>1012</v>
      </c>
      <c r="F228" s="608" t="s">
        <v>634</v>
      </c>
      <c r="G228" s="608" t="s">
        <v>691</v>
      </c>
      <c r="H228" s="608" t="s">
        <v>709</v>
      </c>
      <c r="I228" s="608" t="s">
        <v>1012</v>
      </c>
    </row>
    <row r="229" spans="3:9" x14ac:dyDescent="0.35">
      <c r="C229" s="608" t="s">
        <v>1045</v>
      </c>
      <c r="D229" s="608" t="s">
        <v>1045</v>
      </c>
      <c r="F229" s="608" t="s">
        <v>634</v>
      </c>
      <c r="G229" s="608" t="s">
        <v>691</v>
      </c>
      <c r="H229" s="608" t="s">
        <v>709</v>
      </c>
      <c r="I229" s="608" t="s">
        <v>1045</v>
      </c>
    </row>
    <row r="230" spans="3:9" x14ac:dyDescent="0.35">
      <c r="C230" s="608" t="s">
        <v>1077</v>
      </c>
      <c r="D230" s="608" t="s">
        <v>1077</v>
      </c>
      <c r="F230" s="608" t="s">
        <v>634</v>
      </c>
      <c r="G230" s="608" t="s">
        <v>691</v>
      </c>
      <c r="H230" s="608" t="s">
        <v>709</v>
      </c>
      <c r="I230" s="608" t="s">
        <v>1077</v>
      </c>
    </row>
    <row r="231" spans="3:9" x14ac:dyDescent="0.35">
      <c r="C231" s="608" t="s">
        <v>1110</v>
      </c>
      <c r="D231" s="608" t="s">
        <v>1110</v>
      </c>
      <c r="F231" s="608" t="s">
        <v>634</v>
      </c>
      <c r="G231" s="608" t="s">
        <v>691</v>
      </c>
      <c r="H231" s="608" t="s">
        <v>709</v>
      </c>
      <c r="I231" s="608" t="s">
        <v>1110</v>
      </c>
    </row>
    <row r="232" spans="3:9" x14ac:dyDescent="0.35">
      <c r="C232" s="608" t="s">
        <v>1450</v>
      </c>
      <c r="D232" s="608" t="s">
        <v>1450</v>
      </c>
      <c r="F232" s="608" t="s">
        <v>693</v>
      </c>
      <c r="G232" s="608" t="s">
        <v>637</v>
      </c>
      <c r="H232" s="608" t="s">
        <v>709</v>
      </c>
      <c r="I232" s="608" t="s">
        <v>1450</v>
      </c>
    </row>
    <row r="233" spans="3:9" x14ac:dyDescent="0.35">
      <c r="C233" s="608" t="s">
        <v>1492</v>
      </c>
      <c r="D233" s="608" t="s">
        <v>1492</v>
      </c>
      <c r="F233" s="608" t="s">
        <v>693</v>
      </c>
      <c r="G233" s="608" t="s">
        <v>637</v>
      </c>
      <c r="H233" s="608" t="s">
        <v>709</v>
      </c>
      <c r="I233" s="608" t="s">
        <v>1492</v>
      </c>
    </row>
    <row r="234" spans="3:9" x14ac:dyDescent="0.35">
      <c r="C234" s="608" t="s">
        <v>980</v>
      </c>
      <c r="D234" s="608" t="s">
        <v>980</v>
      </c>
      <c r="F234" s="608" t="s">
        <v>693</v>
      </c>
      <c r="G234" s="608" t="s">
        <v>637</v>
      </c>
      <c r="H234" s="608" t="s">
        <v>709</v>
      </c>
      <c r="I234" s="608" t="s">
        <v>980</v>
      </c>
    </row>
    <row r="235" spans="3:9" x14ac:dyDescent="0.35">
      <c r="C235" s="608" t="s">
        <v>637</v>
      </c>
      <c r="D235" s="608" t="s">
        <v>637</v>
      </c>
      <c r="F235" s="608" t="s">
        <v>693</v>
      </c>
      <c r="G235" s="608" t="s">
        <v>637</v>
      </c>
      <c r="H235" s="608" t="s">
        <v>709</v>
      </c>
      <c r="I235" s="608" t="s">
        <v>637</v>
      </c>
    </row>
    <row r="236" spans="3:9" x14ac:dyDescent="0.35">
      <c r="C236" s="608" t="s">
        <v>699</v>
      </c>
      <c r="D236" s="608" t="s">
        <v>699</v>
      </c>
      <c r="F236" s="608" t="s">
        <v>693</v>
      </c>
      <c r="G236" s="608" t="s">
        <v>637</v>
      </c>
      <c r="H236" s="608" t="s">
        <v>709</v>
      </c>
      <c r="I236" s="608" t="s">
        <v>699</v>
      </c>
    </row>
    <row r="237" spans="3:9" x14ac:dyDescent="0.35">
      <c r="C237" s="608" t="s">
        <v>918</v>
      </c>
      <c r="D237" s="608" t="s">
        <v>918</v>
      </c>
      <c r="F237" s="608" t="s">
        <v>693</v>
      </c>
      <c r="G237" s="608" t="s">
        <v>637</v>
      </c>
      <c r="H237" s="608" t="s">
        <v>709</v>
      </c>
      <c r="I237" s="608" t="s">
        <v>918</v>
      </c>
    </row>
    <row r="238" spans="3:9" x14ac:dyDescent="0.35">
      <c r="C238" s="608" t="s">
        <v>950</v>
      </c>
      <c r="D238" s="608" t="s">
        <v>950</v>
      </c>
      <c r="F238" s="608" t="s">
        <v>693</v>
      </c>
      <c r="G238" s="608" t="s">
        <v>637</v>
      </c>
      <c r="H238" s="608" t="s">
        <v>709</v>
      </c>
      <c r="I238" s="608" t="s">
        <v>950</v>
      </c>
    </row>
    <row r="239" spans="3:9" x14ac:dyDescent="0.35">
      <c r="C239" s="608" t="s">
        <v>1051</v>
      </c>
      <c r="D239" s="608" t="s">
        <v>1051</v>
      </c>
      <c r="F239" s="608" t="s">
        <v>693</v>
      </c>
      <c r="G239" s="608" t="s">
        <v>637</v>
      </c>
      <c r="H239" s="608" t="s">
        <v>709</v>
      </c>
      <c r="I239" s="608" t="s">
        <v>1051</v>
      </c>
    </row>
    <row r="240" spans="3:9" x14ac:dyDescent="0.35">
      <c r="C240" s="608" t="s">
        <v>1167</v>
      </c>
      <c r="D240" s="608" t="s">
        <v>1167</v>
      </c>
      <c r="F240" s="608" t="s">
        <v>693</v>
      </c>
      <c r="G240" s="608" t="s">
        <v>637</v>
      </c>
      <c r="H240" s="608" t="s">
        <v>709</v>
      </c>
      <c r="I240" s="608" t="s">
        <v>1167</v>
      </c>
    </row>
    <row r="241" spans="3:9" x14ac:dyDescent="0.35">
      <c r="C241" s="608" t="s">
        <v>1297</v>
      </c>
      <c r="D241" s="608" t="s">
        <v>1297</v>
      </c>
      <c r="F241" s="608" t="s">
        <v>693</v>
      </c>
      <c r="G241" s="608" t="s">
        <v>637</v>
      </c>
      <c r="H241" s="608" t="s">
        <v>709</v>
      </c>
      <c r="I241" s="608" t="s">
        <v>1297</v>
      </c>
    </row>
    <row r="242" spans="3:9" x14ac:dyDescent="0.35">
      <c r="C242" s="608" t="s">
        <v>746</v>
      </c>
      <c r="D242" s="608" t="s">
        <v>746</v>
      </c>
      <c r="F242" s="608" t="s">
        <v>693</v>
      </c>
      <c r="G242" s="608" t="s">
        <v>638</v>
      </c>
      <c r="H242" s="608" t="s">
        <v>709</v>
      </c>
      <c r="I242" s="608" t="s">
        <v>746</v>
      </c>
    </row>
    <row r="243" spans="3:9" x14ac:dyDescent="0.35">
      <c r="C243" s="608" t="s">
        <v>839</v>
      </c>
      <c r="D243" s="608" t="s">
        <v>839</v>
      </c>
      <c r="F243" s="608" t="s">
        <v>693</v>
      </c>
      <c r="G243" s="608" t="s">
        <v>638</v>
      </c>
      <c r="H243" s="608" t="s">
        <v>709</v>
      </c>
      <c r="I243" s="608" t="s">
        <v>839</v>
      </c>
    </row>
    <row r="244" spans="3:9" x14ac:dyDescent="0.35">
      <c r="C244" s="608" t="s">
        <v>877</v>
      </c>
      <c r="D244" s="608" t="s">
        <v>877</v>
      </c>
      <c r="F244" s="608" t="s">
        <v>693</v>
      </c>
      <c r="G244" s="608" t="s">
        <v>638</v>
      </c>
      <c r="H244" s="608" t="s">
        <v>709</v>
      </c>
      <c r="I244" s="608" t="s">
        <v>877</v>
      </c>
    </row>
    <row r="245" spans="3:9" x14ac:dyDescent="0.35">
      <c r="C245" s="608" t="s">
        <v>914</v>
      </c>
      <c r="D245" s="608" t="s">
        <v>914</v>
      </c>
      <c r="F245" s="608" t="s">
        <v>693</v>
      </c>
      <c r="G245" s="608" t="s">
        <v>638</v>
      </c>
      <c r="H245" s="608" t="s">
        <v>709</v>
      </c>
      <c r="I245" s="608" t="s">
        <v>914</v>
      </c>
    </row>
    <row r="246" spans="3:9" x14ac:dyDescent="0.35">
      <c r="C246" s="608" t="s">
        <v>1013</v>
      </c>
      <c r="D246" s="608" t="s">
        <v>1013</v>
      </c>
      <c r="F246" s="608" t="s">
        <v>693</v>
      </c>
      <c r="G246" s="608" t="s">
        <v>638</v>
      </c>
      <c r="H246" s="608" t="s">
        <v>709</v>
      </c>
      <c r="I246" s="608" t="s">
        <v>1013</v>
      </c>
    </row>
    <row r="247" spans="3:9" x14ac:dyDescent="0.35">
      <c r="C247" s="608" t="s">
        <v>1079</v>
      </c>
      <c r="D247" s="608" t="s">
        <v>1079</v>
      </c>
      <c r="F247" s="608" t="s">
        <v>693</v>
      </c>
      <c r="G247" s="608" t="s">
        <v>638</v>
      </c>
      <c r="H247" s="608" t="s">
        <v>709</v>
      </c>
      <c r="I247" s="608" t="s">
        <v>1079</v>
      </c>
    </row>
    <row r="248" spans="3:9" x14ac:dyDescent="0.35">
      <c r="C248" s="608" t="s">
        <v>1112</v>
      </c>
      <c r="D248" s="608" t="s">
        <v>1112</v>
      </c>
      <c r="F248" s="608" t="s">
        <v>693</v>
      </c>
      <c r="G248" s="608" t="s">
        <v>638</v>
      </c>
      <c r="H248" s="608" t="s">
        <v>709</v>
      </c>
      <c r="I248" s="608" t="s">
        <v>1112</v>
      </c>
    </row>
    <row r="249" spans="3:9" x14ac:dyDescent="0.35">
      <c r="C249" s="608" t="s">
        <v>1165</v>
      </c>
      <c r="D249" s="608" t="s">
        <v>1165</v>
      </c>
      <c r="F249" s="608" t="s">
        <v>693</v>
      </c>
      <c r="G249" s="608" t="s">
        <v>638</v>
      </c>
      <c r="H249" s="608" t="s">
        <v>709</v>
      </c>
      <c r="I249" s="608" t="s">
        <v>1165</v>
      </c>
    </row>
    <row r="250" spans="3:9" x14ac:dyDescent="0.35">
      <c r="C250" s="608" t="s">
        <v>747</v>
      </c>
      <c r="D250" s="608" t="s">
        <v>747</v>
      </c>
      <c r="F250" s="608" t="s">
        <v>693</v>
      </c>
      <c r="G250" s="608" t="s">
        <v>694</v>
      </c>
      <c r="H250" s="608" t="s">
        <v>709</v>
      </c>
      <c r="I250" s="608" t="s">
        <v>747</v>
      </c>
    </row>
    <row r="251" spans="3:9" x14ac:dyDescent="0.35">
      <c r="C251" s="608" t="s">
        <v>796</v>
      </c>
      <c r="D251" s="608" t="s">
        <v>796</v>
      </c>
      <c r="F251" s="608" t="s">
        <v>693</v>
      </c>
      <c r="G251" s="608" t="s">
        <v>694</v>
      </c>
      <c r="H251" s="608" t="s">
        <v>709</v>
      </c>
      <c r="I251" s="608" t="s">
        <v>796</v>
      </c>
    </row>
    <row r="252" spans="3:9" x14ac:dyDescent="0.35">
      <c r="C252" s="608" t="s">
        <v>840</v>
      </c>
      <c r="D252" s="608" t="s">
        <v>840</v>
      </c>
      <c r="F252" s="608" t="s">
        <v>693</v>
      </c>
      <c r="G252" s="608" t="s">
        <v>694</v>
      </c>
      <c r="H252" s="608" t="s">
        <v>709</v>
      </c>
      <c r="I252" s="608" t="s">
        <v>840</v>
      </c>
    </row>
    <row r="253" spans="3:9" x14ac:dyDescent="0.35">
      <c r="C253" s="608" t="s">
        <v>1113</v>
      </c>
      <c r="D253" s="608" t="s">
        <v>1113</v>
      </c>
      <c r="F253" s="608" t="s">
        <v>693</v>
      </c>
      <c r="G253" s="608" t="s">
        <v>694</v>
      </c>
      <c r="H253" s="608" t="s">
        <v>709</v>
      </c>
      <c r="I253" s="608" t="s">
        <v>1113</v>
      </c>
    </row>
    <row r="254" spans="3:9" x14ac:dyDescent="0.35">
      <c r="C254" s="608" t="s">
        <v>1493</v>
      </c>
      <c r="D254" s="608" t="s">
        <v>1493</v>
      </c>
      <c r="F254" s="608" t="s">
        <v>693</v>
      </c>
      <c r="G254" s="608" t="s">
        <v>694</v>
      </c>
      <c r="H254" s="608" t="s">
        <v>709</v>
      </c>
      <c r="I254" s="608" t="s">
        <v>1493</v>
      </c>
    </row>
    <row r="255" spans="3:9" x14ac:dyDescent="0.35">
      <c r="C255" s="608" t="s">
        <v>1494</v>
      </c>
      <c r="D255" s="608" t="s">
        <v>1494</v>
      </c>
      <c r="F255" s="608" t="s">
        <v>693</v>
      </c>
      <c r="G255" s="608" t="s">
        <v>694</v>
      </c>
      <c r="H255" s="608" t="s">
        <v>709</v>
      </c>
      <c r="I255" s="608" t="s">
        <v>1494</v>
      </c>
    </row>
    <row r="256" spans="3:9" x14ac:dyDescent="0.35">
      <c r="C256" s="608" t="s">
        <v>1495</v>
      </c>
      <c r="D256" s="608" t="s">
        <v>1495</v>
      </c>
      <c r="F256" s="608" t="s">
        <v>693</v>
      </c>
      <c r="G256" s="608" t="s">
        <v>694</v>
      </c>
      <c r="H256" s="608" t="s">
        <v>709</v>
      </c>
      <c r="I256" s="608" t="s">
        <v>1495</v>
      </c>
    </row>
    <row r="257" spans="3:9" x14ac:dyDescent="0.35">
      <c r="C257" s="608" t="s">
        <v>1230</v>
      </c>
      <c r="D257" s="608" t="s">
        <v>1230</v>
      </c>
      <c r="F257" s="608" t="s">
        <v>693</v>
      </c>
      <c r="G257" s="608" t="s">
        <v>694</v>
      </c>
      <c r="H257" s="608" t="s">
        <v>709</v>
      </c>
      <c r="I257" s="608" t="s">
        <v>1230</v>
      </c>
    </row>
    <row r="258" spans="3:9" x14ac:dyDescent="0.35">
      <c r="C258" s="608" t="s">
        <v>1496</v>
      </c>
      <c r="D258" s="608" t="s">
        <v>1496</v>
      </c>
      <c r="F258" s="608" t="s">
        <v>693</v>
      </c>
      <c r="G258" s="608" t="s">
        <v>694</v>
      </c>
      <c r="H258" s="608" t="s">
        <v>709</v>
      </c>
      <c r="I258" s="608" t="s">
        <v>1496</v>
      </c>
    </row>
    <row r="259" spans="3:9" x14ac:dyDescent="0.35">
      <c r="C259" s="608" t="s">
        <v>797</v>
      </c>
      <c r="D259" s="608" t="s">
        <v>797</v>
      </c>
      <c r="F259" s="608" t="s">
        <v>693</v>
      </c>
      <c r="G259" s="608" t="s">
        <v>695</v>
      </c>
      <c r="H259" s="608" t="s">
        <v>709</v>
      </c>
      <c r="I259" s="608" t="s">
        <v>797</v>
      </c>
    </row>
    <row r="260" spans="3:9" x14ac:dyDescent="0.35">
      <c r="C260" s="608" t="s">
        <v>695</v>
      </c>
      <c r="D260" s="608" t="s">
        <v>695</v>
      </c>
      <c r="F260" s="608" t="s">
        <v>693</v>
      </c>
      <c r="G260" s="608" t="s">
        <v>695</v>
      </c>
      <c r="H260" s="608" t="s">
        <v>709</v>
      </c>
      <c r="I260" s="608" t="s">
        <v>695</v>
      </c>
    </row>
    <row r="261" spans="3:9" x14ac:dyDescent="0.35">
      <c r="C261" s="608" t="s">
        <v>983</v>
      </c>
      <c r="D261" s="608" t="s">
        <v>983</v>
      </c>
      <c r="F261" s="608" t="s">
        <v>693</v>
      </c>
      <c r="G261" s="608" t="s">
        <v>695</v>
      </c>
      <c r="H261" s="608" t="s">
        <v>709</v>
      </c>
      <c r="I261" s="608" t="s">
        <v>983</v>
      </c>
    </row>
    <row r="262" spans="3:9" x14ac:dyDescent="0.35">
      <c r="C262" s="608" t="s">
        <v>1142</v>
      </c>
      <c r="D262" s="608" t="s">
        <v>1142</v>
      </c>
      <c r="F262" s="608" t="s">
        <v>693</v>
      </c>
      <c r="G262" s="608" t="s">
        <v>695</v>
      </c>
      <c r="H262" s="608" t="s">
        <v>709</v>
      </c>
      <c r="I262" s="608" t="s">
        <v>1142</v>
      </c>
    </row>
    <row r="263" spans="3:9" x14ac:dyDescent="0.35">
      <c r="C263" s="608" t="s">
        <v>1231</v>
      </c>
      <c r="D263" s="608" t="s">
        <v>1231</v>
      </c>
      <c r="F263" s="608" t="s">
        <v>693</v>
      </c>
      <c r="G263" s="608" t="s">
        <v>695</v>
      </c>
      <c r="H263" s="608" t="s">
        <v>709</v>
      </c>
      <c r="I263" s="608" t="s">
        <v>1231</v>
      </c>
    </row>
    <row r="264" spans="3:9" x14ac:dyDescent="0.35">
      <c r="C264" s="608" t="s">
        <v>1253</v>
      </c>
      <c r="D264" s="608" t="s">
        <v>1253</v>
      </c>
      <c r="F264" s="608" t="s">
        <v>693</v>
      </c>
      <c r="G264" s="608" t="s">
        <v>695</v>
      </c>
      <c r="H264" s="608" t="s">
        <v>709</v>
      </c>
      <c r="I264" s="608" t="s">
        <v>1253</v>
      </c>
    </row>
    <row r="265" spans="3:9" x14ac:dyDescent="0.35">
      <c r="C265" s="608" t="s">
        <v>1282</v>
      </c>
      <c r="D265" s="608" t="s">
        <v>1282</v>
      </c>
      <c r="F265" s="608" t="s">
        <v>693</v>
      </c>
      <c r="G265" s="608" t="s">
        <v>695</v>
      </c>
      <c r="H265" s="608" t="s">
        <v>709</v>
      </c>
      <c r="I265" s="608" t="s">
        <v>1282</v>
      </c>
    </row>
    <row r="266" spans="3:9" x14ac:dyDescent="0.35">
      <c r="C266" s="608" t="s">
        <v>1353</v>
      </c>
      <c r="D266" s="608" t="s">
        <v>1353</v>
      </c>
      <c r="F266" s="608" t="s">
        <v>693</v>
      </c>
      <c r="G266" s="608" t="s">
        <v>695</v>
      </c>
      <c r="H266" s="608" t="s">
        <v>709</v>
      </c>
      <c r="I266" s="608" t="s">
        <v>1353</v>
      </c>
    </row>
    <row r="267" spans="3:9" x14ac:dyDescent="0.35">
      <c r="C267" s="608" t="s">
        <v>1497</v>
      </c>
      <c r="D267" s="608" t="s">
        <v>1497</v>
      </c>
      <c r="F267" s="608" t="s">
        <v>1498</v>
      </c>
      <c r="G267" s="608" t="s">
        <v>1499</v>
      </c>
      <c r="H267" s="608" t="s">
        <v>709</v>
      </c>
      <c r="I267" s="608" t="s">
        <v>1497</v>
      </c>
    </row>
    <row r="268" spans="3:9" x14ac:dyDescent="0.35">
      <c r="C268" s="608" t="s">
        <v>1499</v>
      </c>
      <c r="D268" s="608" t="s">
        <v>1499</v>
      </c>
      <c r="F268" s="608" t="s">
        <v>1498</v>
      </c>
      <c r="G268" s="608" t="s">
        <v>1499</v>
      </c>
      <c r="H268" s="608" t="s">
        <v>709</v>
      </c>
      <c r="I268" s="608" t="s">
        <v>1499</v>
      </c>
    </row>
    <row r="269" spans="3:9" x14ac:dyDescent="0.35">
      <c r="C269" s="608" t="s">
        <v>1500</v>
      </c>
      <c r="D269" s="608" t="s">
        <v>1500</v>
      </c>
      <c r="F269" s="608" t="s">
        <v>1498</v>
      </c>
      <c r="G269" s="608" t="s">
        <v>1499</v>
      </c>
      <c r="H269" s="608" t="s">
        <v>709</v>
      </c>
      <c r="I269" s="608" t="s">
        <v>1500</v>
      </c>
    </row>
    <row r="270" spans="3:9" x14ac:dyDescent="0.35">
      <c r="C270" s="608" t="s">
        <v>1501</v>
      </c>
      <c r="D270" s="608" t="s">
        <v>1501</v>
      </c>
      <c r="F270" s="608" t="s">
        <v>1498</v>
      </c>
      <c r="G270" s="608" t="s">
        <v>1499</v>
      </c>
      <c r="H270" s="608" t="s">
        <v>709</v>
      </c>
      <c r="I270" s="608" t="s">
        <v>1501</v>
      </c>
    </row>
    <row r="271" spans="3:9" x14ac:dyDescent="0.35">
      <c r="C271" s="608" t="s">
        <v>1502</v>
      </c>
      <c r="D271" s="608" t="s">
        <v>1502</v>
      </c>
      <c r="F271" s="608" t="s">
        <v>1498</v>
      </c>
      <c r="G271" s="608" t="s">
        <v>1499</v>
      </c>
      <c r="H271" s="608" t="s">
        <v>709</v>
      </c>
      <c r="I271" s="608" t="s">
        <v>1502</v>
      </c>
    </row>
    <row r="272" spans="3:9" x14ac:dyDescent="0.35">
      <c r="C272" s="608" t="s">
        <v>1503</v>
      </c>
      <c r="D272" s="608" t="s">
        <v>1503</v>
      </c>
      <c r="F272" s="608" t="s">
        <v>1498</v>
      </c>
      <c r="G272" s="608" t="s">
        <v>1499</v>
      </c>
      <c r="H272" s="608" t="s">
        <v>709</v>
      </c>
      <c r="I272" s="608" t="s">
        <v>1503</v>
      </c>
    </row>
    <row r="273" spans="3:9" x14ac:dyDescent="0.35">
      <c r="C273" s="608" t="s">
        <v>1504</v>
      </c>
      <c r="D273" s="608" t="s">
        <v>1504</v>
      </c>
      <c r="F273" s="608" t="s">
        <v>1498</v>
      </c>
      <c r="G273" s="608" t="s">
        <v>1499</v>
      </c>
      <c r="H273" s="608" t="s">
        <v>709</v>
      </c>
      <c r="I273" s="608" t="s">
        <v>1504</v>
      </c>
    </row>
    <row r="274" spans="3:9" x14ac:dyDescent="0.35">
      <c r="C274" s="608" t="s">
        <v>1505</v>
      </c>
      <c r="D274" s="608" t="s">
        <v>1505</v>
      </c>
      <c r="F274" s="608" t="s">
        <v>1498</v>
      </c>
      <c r="G274" s="608" t="s">
        <v>1499</v>
      </c>
      <c r="H274" s="608" t="s">
        <v>709</v>
      </c>
      <c r="I274" s="608" t="s">
        <v>1505</v>
      </c>
    </row>
    <row r="275" spans="3:9" x14ac:dyDescent="0.35">
      <c r="C275" s="608" t="s">
        <v>1506</v>
      </c>
      <c r="D275" s="608" t="s">
        <v>1506</v>
      </c>
      <c r="F275" s="608" t="s">
        <v>1498</v>
      </c>
      <c r="G275" s="608" t="s">
        <v>1499</v>
      </c>
      <c r="H275" s="608" t="s">
        <v>709</v>
      </c>
      <c r="I275" s="608" t="s">
        <v>1506</v>
      </c>
    </row>
    <row r="276" spans="3:9" x14ac:dyDescent="0.35">
      <c r="C276" s="608" t="s">
        <v>1507</v>
      </c>
      <c r="D276" s="608" t="s">
        <v>1507</v>
      </c>
      <c r="F276" s="608" t="s">
        <v>1498</v>
      </c>
      <c r="G276" s="608" t="s">
        <v>1499</v>
      </c>
      <c r="H276" s="608" t="s">
        <v>709</v>
      </c>
      <c r="I276" s="608" t="s">
        <v>1507</v>
      </c>
    </row>
    <row r="277" spans="3:9" x14ac:dyDescent="0.35">
      <c r="C277" s="608" t="s">
        <v>1508</v>
      </c>
      <c r="D277" s="608" t="s">
        <v>1508</v>
      </c>
      <c r="F277" s="608" t="s">
        <v>1498</v>
      </c>
      <c r="G277" s="608" t="s">
        <v>1499</v>
      </c>
      <c r="H277" s="608" t="s">
        <v>709</v>
      </c>
      <c r="I277" s="608" t="s">
        <v>1508</v>
      </c>
    </row>
    <row r="278" spans="3:9" x14ac:dyDescent="0.35">
      <c r="C278" s="608" t="s">
        <v>1509</v>
      </c>
      <c r="D278" s="608" t="s">
        <v>1509</v>
      </c>
      <c r="F278" s="608" t="s">
        <v>1498</v>
      </c>
      <c r="G278" s="608" t="s">
        <v>1499</v>
      </c>
      <c r="H278" s="608" t="s">
        <v>709</v>
      </c>
      <c r="I278" s="608" t="s">
        <v>1509</v>
      </c>
    </row>
    <row r="279" spans="3:9" x14ac:dyDescent="0.35">
      <c r="C279" s="608" t="s">
        <v>1510</v>
      </c>
      <c r="D279" s="608" t="s">
        <v>1510</v>
      </c>
      <c r="F279" s="608" t="s">
        <v>1498</v>
      </c>
      <c r="G279" s="608" t="s">
        <v>1499</v>
      </c>
      <c r="H279" s="608" t="s">
        <v>709</v>
      </c>
      <c r="I279" s="608" t="s">
        <v>1510</v>
      </c>
    </row>
    <row r="280" spans="3:9" x14ac:dyDescent="0.35">
      <c r="C280" s="608" t="s">
        <v>1511</v>
      </c>
      <c r="D280" s="608" t="s">
        <v>1511</v>
      </c>
      <c r="F280" s="608" t="s">
        <v>1498</v>
      </c>
      <c r="G280" s="608" t="s">
        <v>1499</v>
      </c>
      <c r="H280" s="608" t="s">
        <v>709</v>
      </c>
      <c r="I280" s="608" t="s">
        <v>1511</v>
      </c>
    </row>
    <row r="281" spans="3:9" x14ac:dyDescent="0.35">
      <c r="C281" s="608" t="s">
        <v>1512</v>
      </c>
      <c r="D281" s="608" t="s">
        <v>1512</v>
      </c>
      <c r="F281" s="608" t="s">
        <v>1498</v>
      </c>
      <c r="G281" s="608" t="s">
        <v>1499</v>
      </c>
      <c r="H281" s="608" t="s">
        <v>709</v>
      </c>
      <c r="I281" s="608" t="s">
        <v>1512</v>
      </c>
    </row>
    <row r="282" spans="3:9" x14ac:dyDescent="0.35">
      <c r="C282" s="608" t="s">
        <v>1513</v>
      </c>
      <c r="D282" s="608" t="s">
        <v>1513</v>
      </c>
      <c r="F282" s="608" t="s">
        <v>1498</v>
      </c>
      <c r="G282" s="608" t="s">
        <v>1499</v>
      </c>
      <c r="H282" s="608" t="s">
        <v>709</v>
      </c>
      <c r="I282" s="608" t="s">
        <v>1513</v>
      </c>
    </row>
    <row r="283" spans="3:9" x14ac:dyDescent="0.35">
      <c r="C283" s="608" t="s">
        <v>1514</v>
      </c>
      <c r="D283" s="608" t="s">
        <v>1514</v>
      </c>
      <c r="F283" s="608" t="s">
        <v>1498</v>
      </c>
      <c r="G283" s="608" t="s">
        <v>1499</v>
      </c>
      <c r="H283" s="608" t="s">
        <v>709</v>
      </c>
      <c r="I283" s="608" t="s">
        <v>1514</v>
      </c>
    </row>
    <row r="284" spans="3:9" x14ac:dyDescent="0.35">
      <c r="C284" s="608" t="s">
        <v>1515</v>
      </c>
      <c r="D284" s="608" t="s">
        <v>1515</v>
      </c>
      <c r="F284" s="608" t="s">
        <v>1498</v>
      </c>
      <c r="G284" s="608" t="s">
        <v>1499</v>
      </c>
      <c r="H284" s="608" t="s">
        <v>709</v>
      </c>
      <c r="I284" s="608" t="s">
        <v>1515</v>
      </c>
    </row>
    <row r="285" spans="3:9" x14ac:dyDescent="0.35">
      <c r="C285" s="608" t="s">
        <v>1516</v>
      </c>
      <c r="D285" s="608" t="s">
        <v>1516</v>
      </c>
      <c r="F285" s="608" t="s">
        <v>1498</v>
      </c>
      <c r="G285" s="608" t="s">
        <v>1499</v>
      </c>
      <c r="H285" s="608" t="s">
        <v>709</v>
      </c>
      <c r="I285" s="608" t="s">
        <v>1516</v>
      </c>
    </row>
    <row r="286" spans="3:9" x14ac:dyDescent="0.35">
      <c r="C286" s="608" t="s">
        <v>1517</v>
      </c>
      <c r="D286" s="608" t="s">
        <v>1517</v>
      </c>
      <c r="F286" s="608" t="s">
        <v>1498</v>
      </c>
      <c r="G286" s="608" t="s">
        <v>1499</v>
      </c>
      <c r="H286" s="608" t="s">
        <v>709</v>
      </c>
      <c r="I286" s="608" t="s">
        <v>1517</v>
      </c>
    </row>
    <row r="287" spans="3:9" x14ac:dyDescent="0.35">
      <c r="C287" s="608" t="s">
        <v>1518</v>
      </c>
      <c r="D287" s="608" t="s">
        <v>1518</v>
      </c>
      <c r="F287" s="608" t="s">
        <v>1498</v>
      </c>
      <c r="G287" s="608" t="s">
        <v>1499</v>
      </c>
      <c r="H287" s="608" t="s">
        <v>709</v>
      </c>
      <c r="I287" s="608" t="s">
        <v>1518</v>
      </c>
    </row>
    <row r="288" spans="3:9" x14ac:dyDescent="0.35">
      <c r="C288" s="608" t="s">
        <v>1519</v>
      </c>
      <c r="D288" s="608" t="s">
        <v>1519</v>
      </c>
      <c r="F288" s="608" t="s">
        <v>1498</v>
      </c>
      <c r="G288" s="608" t="s">
        <v>1499</v>
      </c>
      <c r="H288" s="608" t="s">
        <v>709</v>
      </c>
      <c r="I288" s="608" t="s">
        <v>1519</v>
      </c>
    </row>
    <row r="289" spans="3:9" x14ac:dyDescent="0.35">
      <c r="C289" s="608" t="s">
        <v>1520</v>
      </c>
      <c r="D289" s="608" t="s">
        <v>1520</v>
      </c>
      <c r="F289" s="608" t="s">
        <v>1498</v>
      </c>
      <c r="G289" s="608" t="s">
        <v>1499</v>
      </c>
      <c r="H289" s="608" t="s">
        <v>709</v>
      </c>
      <c r="I289" s="608" t="s">
        <v>1520</v>
      </c>
    </row>
    <row r="290" spans="3:9" x14ac:dyDescent="0.35">
      <c r="C290" s="608" t="s">
        <v>1521</v>
      </c>
      <c r="D290" s="608" t="s">
        <v>1521</v>
      </c>
      <c r="F290" s="608" t="s">
        <v>1498</v>
      </c>
      <c r="G290" s="608" t="s">
        <v>1499</v>
      </c>
      <c r="H290" s="608" t="s">
        <v>709</v>
      </c>
      <c r="I290" s="608" t="s">
        <v>1521</v>
      </c>
    </row>
    <row r="291" spans="3:9" x14ac:dyDescent="0.35">
      <c r="C291" s="608" t="s">
        <v>1522</v>
      </c>
      <c r="D291" s="608" t="s">
        <v>1522</v>
      </c>
      <c r="F291" s="608" t="s">
        <v>1498</v>
      </c>
      <c r="G291" s="608" t="s">
        <v>1499</v>
      </c>
      <c r="H291" s="608" t="s">
        <v>709</v>
      </c>
      <c r="I291" s="608" t="s">
        <v>1522</v>
      </c>
    </row>
    <row r="292" spans="3:9" x14ac:dyDescent="0.35">
      <c r="C292" s="608" t="s">
        <v>1523</v>
      </c>
      <c r="D292" s="608" t="s">
        <v>1523</v>
      </c>
      <c r="F292" s="608" t="s">
        <v>1498</v>
      </c>
      <c r="G292" s="608" t="s">
        <v>1524</v>
      </c>
      <c r="H292" s="608" t="s">
        <v>709</v>
      </c>
      <c r="I292" s="608" t="s">
        <v>1523</v>
      </c>
    </row>
    <row r="293" spans="3:9" x14ac:dyDescent="0.35">
      <c r="C293" s="608" t="s">
        <v>1525</v>
      </c>
      <c r="D293" s="608" t="s">
        <v>1525</v>
      </c>
      <c r="F293" s="608" t="s">
        <v>1498</v>
      </c>
      <c r="G293" s="608" t="s">
        <v>1524</v>
      </c>
      <c r="H293" s="608" t="s">
        <v>709</v>
      </c>
      <c r="I293" s="608" t="s">
        <v>1525</v>
      </c>
    </row>
    <row r="294" spans="3:9" x14ac:dyDescent="0.35">
      <c r="C294" s="608" t="s">
        <v>1526</v>
      </c>
      <c r="D294" s="608" t="s">
        <v>1526</v>
      </c>
      <c r="F294" s="608" t="s">
        <v>1498</v>
      </c>
      <c r="G294" s="608" t="s">
        <v>1524</v>
      </c>
      <c r="H294" s="608" t="s">
        <v>709</v>
      </c>
      <c r="I294" s="608" t="s">
        <v>1526</v>
      </c>
    </row>
    <row r="295" spans="3:9" x14ac:dyDescent="0.35">
      <c r="C295" s="608" t="s">
        <v>1527</v>
      </c>
      <c r="D295" s="608" t="s">
        <v>1527</v>
      </c>
      <c r="F295" s="608" t="s">
        <v>1498</v>
      </c>
      <c r="G295" s="608" t="s">
        <v>1524</v>
      </c>
      <c r="H295" s="608" t="s">
        <v>709</v>
      </c>
      <c r="I295" s="608" t="s">
        <v>1527</v>
      </c>
    </row>
    <row r="296" spans="3:9" x14ac:dyDescent="0.35">
      <c r="C296" s="608" t="s">
        <v>1528</v>
      </c>
      <c r="D296" s="608" t="s">
        <v>1528</v>
      </c>
      <c r="F296" s="608" t="s">
        <v>1498</v>
      </c>
      <c r="G296" s="608" t="s">
        <v>1524</v>
      </c>
      <c r="H296" s="608" t="s">
        <v>709</v>
      </c>
      <c r="I296" s="608" t="s">
        <v>1528</v>
      </c>
    </row>
    <row r="297" spans="3:9" x14ac:dyDescent="0.35">
      <c r="C297" s="608" t="s">
        <v>1529</v>
      </c>
      <c r="D297" s="608" t="s">
        <v>1529</v>
      </c>
      <c r="F297" s="608" t="s">
        <v>1498</v>
      </c>
      <c r="G297" s="608" t="s">
        <v>1524</v>
      </c>
      <c r="H297" s="608" t="s">
        <v>709</v>
      </c>
      <c r="I297" s="608" t="s">
        <v>1529</v>
      </c>
    </row>
    <row r="298" spans="3:9" x14ac:dyDescent="0.35">
      <c r="C298" s="608" t="s">
        <v>1530</v>
      </c>
      <c r="D298" s="608" t="s">
        <v>1530</v>
      </c>
      <c r="F298" s="608" t="s">
        <v>1498</v>
      </c>
      <c r="G298" s="608" t="s">
        <v>1524</v>
      </c>
      <c r="H298" s="608" t="s">
        <v>709</v>
      </c>
      <c r="I298" s="608" t="s">
        <v>1530</v>
      </c>
    </row>
    <row r="299" spans="3:9" x14ac:dyDescent="0.35">
      <c r="C299" s="608" t="s">
        <v>1531</v>
      </c>
      <c r="D299" s="608" t="s">
        <v>1531</v>
      </c>
      <c r="F299" s="608" t="s">
        <v>1498</v>
      </c>
      <c r="G299" s="608" t="s">
        <v>1524</v>
      </c>
      <c r="H299" s="608" t="s">
        <v>709</v>
      </c>
      <c r="I299" s="608" t="s">
        <v>1531</v>
      </c>
    </row>
    <row r="300" spans="3:9" x14ac:dyDescent="0.35">
      <c r="C300" s="608" t="s">
        <v>1532</v>
      </c>
      <c r="D300" s="608" t="s">
        <v>1532</v>
      </c>
      <c r="F300" s="608" t="s">
        <v>1498</v>
      </c>
      <c r="G300" s="608" t="s">
        <v>1524</v>
      </c>
      <c r="H300" s="608" t="s">
        <v>709</v>
      </c>
      <c r="I300" s="608" t="s">
        <v>1532</v>
      </c>
    </row>
    <row r="301" spans="3:9" x14ac:dyDescent="0.35">
      <c r="C301" s="608" t="s">
        <v>1533</v>
      </c>
      <c r="D301" s="608" t="s">
        <v>1533</v>
      </c>
      <c r="F301" s="608" t="s">
        <v>1498</v>
      </c>
      <c r="G301" s="608" t="s">
        <v>1524</v>
      </c>
      <c r="H301" s="608" t="s">
        <v>709</v>
      </c>
      <c r="I301" s="608" t="s">
        <v>1533</v>
      </c>
    </row>
    <row r="302" spans="3:9" x14ac:dyDescent="0.35">
      <c r="C302" s="608" t="s">
        <v>1534</v>
      </c>
      <c r="D302" s="608" t="s">
        <v>1534</v>
      </c>
      <c r="F302" s="608" t="s">
        <v>1498</v>
      </c>
      <c r="G302" s="608" t="s">
        <v>1524</v>
      </c>
      <c r="H302" s="608" t="s">
        <v>709</v>
      </c>
      <c r="I302" s="608" t="s">
        <v>1534</v>
      </c>
    </row>
    <row r="303" spans="3:9" x14ac:dyDescent="0.35">
      <c r="C303" s="608" t="s">
        <v>1535</v>
      </c>
      <c r="D303" s="608" t="s">
        <v>1535</v>
      </c>
      <c r="F303" s="608" t="s">
        <v>1498</v>
      </c>
      <c r="G303" s="608" t="s">
        <v>1524</v>
      </c>
      <c r="H303" s="608" t="s">
        <v>709</v>
      </c>
      <c r="I303" s="608" t="s">
        <v>1535</v>
      </c>
    </row>
    <row r="304" spans="3:9" x14ac:dyDescent="0.35">
      <c r="C304" s="608" t="s">
        <v>1536</v>
      </c>
      <c r="D304" s="608" t="s">
        <v>1536</v>
      </c>
      <c r="F304" s="608" t="s">
        <v>1498</v>
      </c>
      <c r="G304" s="608" t="s">
        <v>1524</v>
      </c>
      <c r="H304" s="608" t="s">
        <v>709</v>
      </c>
      <c r="I304" s="608" t="s">
        <v>1536</v>
      </c>
    </row>
    <row r="305" spans="3:9" x14ac:dyDescent="0.35">
      <c r="C305" s="608" t="s">
        <v>1537</v>
      </c>
      <c r="D305" s="608" t="s">
        <v>1537</v>
      </c>
      <c r="F305" s="608" t="s">
        <v>1498</v>
      </c>
      <c r="G305" s="608" t="s">
        <v>1524</v>
      </c>
      <c r="H305" s="608" t="s">
        <v>709</v>
      </c>
      <c r="I305" s="608" t="s">
        <v>1537</v>
      </c>
    </row>
    <row r="306" spans="3:9" x14ac:dyDescent="0.35">
      <c r="C306" s="608" t="s">
        <v>1538</v>
      </c>
      <c r="D306" s="608" t="s">
        <v>1538</v>
      </c>
      <c r="F306" s="608" t="s">
        <v>1498</v>
      </c>
      <c r="G306" s="608" t="s">
        <v>1524</v>
      </c>
      <c r="H306" s="608" t="s">
        <v>709</v>
      </c>
      <c r="I306" s="608" t="s">
        <v>1538</v>
      </c>
    </row>
    <row r="307" spans="3:9" x14ac:dyDescent="0.35">
      <c r="C307" s="608" t="s">
        <v>1539</v>
      </c>
      <c r="D307" s="608" t="s">
        <v>1539</v>
      </c>
      <c r="F307" s="608" t="s">
        <v>1498</v>
      </c>
      <c r="G307" s="608" t="s">
        <v>1524</v>
      </c>
      <c r="H307" s="608" t="s">
        <v>709</v>
      </c>
      <c r="I307" s="608" t="s">
        <v>1539</v>
      </c>
    </row>
    <row r="308" spans="3:9" x14ac:dyDescent="0.35">
      <c r="C308" s="608" t="s">
        <v>1540</v>
      </c>
      <c r="D308" s="608" t="s">
        <v>1540</v>
      </c>
      <c r="F308" s="608" t="s">
        <v>1498</v>
      </c>
      <c r="G308" s="608" t="s">
        <v>1524</v>
      </c>
      <c r="H308" s="608" t="s">
        <v>709</v>
      </c>
      <c r="I308" s="608" t="s">
        <v>1540</v>
      </c>
    </row>
    <row r="309" spans="3:9" x14ac:dyDescent="0.35">
      <c r="C309" s="608" t="s">
        <v>1541</v>
      </c>
      <c r="D309" s="608" t="s">
        <v>1541</v>
      </c>
      <c r="F309" s="608" t="s">
        <v>1498</v>
      </c>
      <c r="G309" s="608" t="s">
        <v>1524</v>
      </c>
      <c r="H309" s="608" t="s">
        <v>709</v>
      </c>
      <c r="I309" s="608" t="s">
        <v>1541</v>
      </c>
    </row>
    <row r="310" spans="3:9" x14ac:dyDescent="0.35">
      <c r="C310" s="608" t="s">
        <v>1542</v>
      </c>
      <c r="D310" s="608" t="s">
        <v>1542</v>
      </c>
      <c r="F310" s="608" t="s">
        <v>1498</v>
      </c>
      <c r="G310" s="608" t="s">
        <v>1524</v>
      </c>
      <c r="H310" s="608" t="s">
        <v>709</v>
      </c>
      <c r="I310" s="608" t="s">
        <v>1542</v>
      </c>
    </row>
    <row r="311" spans="3:9" x14ac:dyDescent="0.35">
      <c r="C311" s="608" t="s">
        <v>1543</v>
      </c>
      <c r="D311" s="608" t="s">
        <v>1543</v>
      </c>
      <c r="F311" s="608" t="s">
        <v>1498</v>
      </c>
      <c r="G311" s="608" t="s">
        <v>1524</v>
      </c>
      <c r="H311" s="608" t="s">
        <v>709</v>
      </c>
      <c r="I311" s="608" t="s">
        <v>1543</v>
      </c>
    </row>
    <row r="312" spans="3:9" x14ac:dyDescent="0.35">
      <c r="C312" s="608" t="s">
        <v>1544</v>
      </c>
      <c r="D312" s="608" t="s">
        <v>1544</v>
      </c>
      <c r="F312" s="608" t="s">
        <v>1498</v>
      </c>
      <c r="G312" s="608" t="s">
        <v>1524</v>
      </c>
      <c r="H312" s="608" t="s">
        <v>709</v>
      </c>
      <c r="I312" s="608" t="s">
        <v>1544</v>
      </c>
    </row>
    <row r="313" spans="3:9" x14ac:dyDescent="0.35">
      <c r="C313" s="608" t="s">
        <v>1545</v>
      </c>
      <c r="D313" s="608" t="s">
        <v>1545</v>
      </c>
      <c r="F313" s="608" t="s">
        <v>1498</v>
      </c>
      <c r="G313" s="608" t="s">
        <v>1524</v>
      </c>
      <c r="H313" s="608" t="s">
        <v>709</v>
      </c>
      <c r="I313" s="608" t="s">
        <v>1545</v>
      </c>
    </row>
    <row r="314" spans="3:9" x14ac:dyDescent="0.35">
      <c r="C314" s="608" t="s">
        <v>1546</v>
      </c>
      <c r="D314" s="608" t="s">
        <v>1546</v>
      </c>
      <c r="F314" s="608" t="s">
        <v>1498</v>
      </c>
      <c r="G314" s="608" t="s">
        <v>1524</v>
      </c>
      <c r="H314" s="608" t="s">
        <v>709</v>
      </c>
      <c r="I314" s="608" t="s">
        <v>1546</v>
      </c>
    </row>
    <row r="315" spans="3:9" x14ac:dyDescent="0.35">
      <c r="C315" s="608" t="s">
        <v>1547</v>
      </c>
      <c r="D315" s="608" t="s">
        <v>1547</v>
      </c>
      <c r="F315" s="608" t="s">
        <v>1498</v>
      </c>
      <c r="G315" s="608" t="s">
        <v>1524</v>
      </c>
      <c r="H315" s="608" t="s">
        <v>709</v>
      </c>
      <c r="I315" s="608" t="s">
        <v>1547</v>
      </c>
    </row>
    <row r="316" spans="3:9" x14ac:dyDescent="0.35">
      <c r="C316" s="608" t="s">
        <v>1548</v>
      </c>
      <c r="D316" s="608" t="s">
        <v>1548</v>
      </c>
      <c r="F316" s="608" t="s">
        <v>1498</v>
      </c>
      <c r="G316" s="608" t="s">
        <v>1524</v>
      </c>
      <c r="H316" s="608" t="s">
        <v>709</v>
      </c>
      <c r="I316" s="608" t="s">
        <v>1548</v>
      </c>
    </row>
    <row r="317" spans="3:9" x14ac:dyDescent="0.35">
      <c r="C317" s="608" t="s">
        <v>1549</v>
      </c>
      <c r="D317" s="608" t="s">
        <v>1549</v>
      </c>
      <c r="F317" s="608" t="s">
        <v>1498</v>
      </c>
      <c r="G317" s="608" t="s">
        <v>1524</v>
      </c>
      <c r="H317" s="608" t="s">
        <v>709</v>
      </c>
      <c r="I317" s="608" t="s">
        <v>1549</v>
      </c>
    </row>
  </sheetData>
  <autoFilter ref="CZ1:CZ45" xr:uid="{A6C2D218-BCF9-4AA7-8E67-C039E8DEE87E}"/>
  <dataValidations disablePrompts="1" count="3">
    <dataValidation type="list" allowBlank="1" showInputMessage="1" showErrorMessage="1" sqref="CE16 CB22" xr:uid="{EB330223-408B-4B4C-812F-25643ED91034}">
      <formula1>Regione_2</formula1>
    </dataValidation>
    <dataValidation type="list" allowBlank="1" showInputMessage="1" showErrorMessage="1" sqref="CC22" xr:uid="{05F54F79-F18A-4F09-B404-F6939522256F}">
      <formula1>"+indiretto($CB$22)"</formula1>
    </dataValidation>
    <dataValidation type="list" allowBlank="1" showInputMessage="1" showErrorMessage="1" sqref="CG25" xr:uid="{4FADE4E4-6B20-4DEA-813D-61CCF3EE0931}">
      <formula1>INDIRECT($CC$25)</formula1>
    </dataValidation>
  </dataValidation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A28AA8-FCBD-4E6E-A9EC-2BD5405C211B}">
  <sheetPr codeName="Foglio8"/>
  <dimension ref="A1:BW55"/>
  <sheetViews>
    <sheetView zoomScale="90" zoomScaleNormal="90" workbookViewId="0">
      <selection activeCell="BV31" sqref="BV31"/>
    </sheetView>
  </sheetViews>
  <sheetFormatPr defaultColWidth="11.1796875" defaultRowHeight="12.5" x14ac:dyDescent="0.25"/>
  <cols>
    <col min="1" max="1" width="38.81640625" style="668" customWidth="1"/>
    <col min="2" max="2" width="18.54296875" style="668" customWidth="1"/>
    <col min="3" max="3" width="21.7265625" style="668" customWidth="1"/>
    <col min="4" max="4" width="24.54296875" style="668" customWidth="1"/>
    <col min="5" max="5" width="11.1796875" style="668"/>
    <col min="6" max="6" width="18.54296875" style="668" customWidth="1"/>
    <col min="7" max="7" width="14.453125" style="668" customWidth="1"/>
    <col min="8" max="8" width="11.1796875" style="668"/>
    <col min="9" max="9" width="14.453125" style="668" customWidth="1"/>
    <col min="10" max="10" width="13.81640625" style="668" customWidth="1"/>
    <col min="11" max="17" width="11.1796875" style="668"/>
    <col min="18" max="18" width="24.26953125" style="668" customWidth="1"/>
    <col min="19" max="19" width="17.453125" style="668" customWidth="1"/>
    <col min="20" max="20" width="13.1796875" style="668" customWidth="1"/>
    <col min="21" max="21" width="11.1796875" style="668"/>
    <col min="22" max="22" width="20.7265625" style="668" customWidth="1"/>
    <col min="23" max="23" width="13.453125" style="668" customWidth="1"/>
    <col min="24" max="24" width="16.81640625" style="668" customWidth="1"/>
    <col min="25" max="28" width="11.1796875" style="668"/>
    <col min="29" max="29" width="20.453125" style="668" customWidth="1"/>
    <col min="30" max="16384" width="11.1796875" style="668"/>
  </cols>
  <sheetData>
    <row r="1" spans="1:75" ht="25" x14ac:dyDescent="0.5">
      <c r="A1" s="1837" t="s">
        <v>1694</v>
      </c>
      <c r="B1" s="1837"/>
      <c r="C1" s="1837"/>
    </row>
    <row r="3" spans="1:75" x14ac:dyDescent="0.25">
      <c r="B3" s="668" t="s">
        <v>1764</v>
      </c>
      <c r="D3" s="668" t="s">
        <v>1765</v>
      </c>
      <c r="G3" s="669" t="s">
        <v>1699</v>
      </c>
      <c r="M3" s="668" t="s">
        <v>1766</v>
      </c>
      <c r="R3" s="668" t="s">
        <v>1767</v>
      </c>
      <c r="U3" s="1834" t="s">
        <v>1768</v>
      </c>
      <c r="V3" s="1834"/>
      <c r="W3" s="1834"/>
      <c r="X3" s="1834"/>
      <c r="Y3" s="1834"/>
      <c r="AE3" s="1834" t="s">
        <v>1769</v>
      </c>
      <c r="AF3" s="1834"/>
      <c r="AG3" s="1834"/>
      <c r="AH3" s="1834"/>
      <c r="AI3" s="1834"/>
      <c r="AO3" s="1834" t="s">
        <v>1770</v>
      </c>
      <c r="AP3" s="1834"/>
      <c r="AQ3" s="1834"/>
      <c r="AR3" s="1834"/>
      <c r="AS3" s="1834"/>
      <c r="AY3" s="1834" t="s">
        <v>1771</v>
      </c>
      <c r="AZ3" s="1834"/>
      <c r="BA3" s="1834"/>
      <c r="BB3" s="1834"/>
      <c r="BC3" s="1834"/>
      <c r="BI3" s="1834" t="s">
        <v>1772</v>
      </c>
      <c r="BJ3" s="1834"/>
      <c r="BK3" s="1834"/>
      <c r="BL3" s="1834"/>
      <c r="BM3" s="1834"/>
      <c r="BS3" s="1834" t="s">
        <v>1773</v>
      </c>
      <c r="BT3" s="1834"/>
      <c r="BU3" s="1834"/>
      <c r="BV3" s="1834"/>
      <c r="BW3" s="1834"/>
    </row>
    <row r="4" spans="1:75" x14ac:dyDescent="0.25">
      <c r="A4" s="668" t="s">
        <v>1707</v>
      </c>
      <c r="B4" s="670">
        <f>'ESL_V2 (2)'!B4</f>
        <v>0</v>
      </c>
      <c r="D4" s="671">
        <f ca="1">-1*(V44+AF44+AP44+AZ44+BJ44+BT44)</f>
        <v>0</v>
      </c>
      <c r="G4" s="672" t="e">
        <f ca="1">(D4+D7)/SUM(J13:J18)</f>
        <v>#DIV/0!</v>
      </c>
      <c r="H4" s="668">
        <v>2.0589181210096001E-2</v>
      </c>
      <c r="I4" s="673" t="e">
        <f ca="1">G4-H4</f>
        <v>#DIV/0!</v>
      </c>
    </row>
    <row r="5" spans="1:75" x14ac:dyDescent="0.25">
      <c r="M5" s="668" t="s">
        <v>1774</v>
      </c>
      <c r="N5" s="674">
        <v>0</v>
      </c>
    </row>
    <row r="6" spans="1:75" ht="13" x14ac:dyDescent="0.25">
      <c r="A6" s="668" t="s">
        <v>1775</v>
      </c>
      <c r="B6" s="675">
        <f ca="1">B4+IFERROR(IF(GBER!D21=0,0.01,GBER!D21),0.01)</f>
        <v>0.01</v>
      </c>
      <c r="D6" s="668" t="s">
        <v>1776</v>
      </c>
      <c r="M6" s="668" t="s">
        <v>1777</v>
      </c>
      <c r="N6" s="676">
        <v>0.75</v>
      </c>
      <c r="R6" s="668" t="s">
        <v>1778</v>
      </c>
      <c r="S6" s="1425">
        <f ca="1">C13*B20</f>
        <v>0</v>
      </c>
      <c r="U6" s="668" t="s">
        <v>1779</v>
      </c>
      <c r="V6" s="677" t="s">
        <v>1780</v>
      </c>
      <c r="W6" s="678" t="s">
        <v>1781</v>
      </c>
      <c r="X6" s="678" t="s">
        <v>1782</v>
      </c>
      <c r="Y6" s="678" t="s">
        <v>1783</v>
      </c>
      <c r="AB6" s="668" t="s">
        <v>1784</v>
      </c>
      <c r="AC6" s="679">
        <f ca="1">C14*$B$20</f>
        <v>0</v>
      </c>
      <c r="AE6" s="668" t="s">
        <v>1779</v>
      </c>
      <c r="AF6" s="677" t="s">
        <v>1780</v>
      </c>
      <c r="AG6" s="678" t="s">
        <v>1781</v>
      </c>
      <c r="AH6" s="678" t="s">
        <v>1782</v>
      </c>
      <c r="AI6" s="678" t="s">
        <v>1783</v>
      </c>
      <c r="AL6" s="668" t="s">
        <v>1784</v>
      </c>
      <c r="AM6" s="668">
        <f ca="1">C15*$B$20</f>
        <v>0</v>
      </c>
      <c r="AO6" s="668" t="s">
        <v>1779</v>
      </c>
      <c r="AP6" s="677" t="s">
        <v>1780</v>
      </c>
      <c r="AQ6" s="678" t="s">
        <v>1781</v>
      </c>
      <c r="AR6" s="678" t="s">
        <v>1782</v>
      </c>
      <c r="AS6" s="678" t="s">
        <v>1783</v>
      </c>
      <c r="AV6" s="668" t="s">
        <v>1784</v>
      </c>
      <c r="AW6" s="668">
        <f ca="1">C16*$B$20</f>
        <v>0</v>
      </c>
      <c r="AY6" s="668" t="s">
        <v>1779</v>
      </c>
      <c r="AZ6" s="677" t="s">
        <v>1780</v>
      </c>
      <c r="BA6" s="678" t="s">
        <v>1781</v>
      </c>
      <c r="BB6" s="678" t="s">
        <v>1782</v>
      </c>
      <c r="BC6" s="678" t="s">
        <v>1783</v>
      </c>
      <c r="BF6" s="668" t="s">
        <v>1784</v>
      </c>
      <c r="BG6" s="668">
        <f ca="1">C17*$B$20</f>
        <v>0</v>
      </c>
      <c r="BI6" s="668" t="s">
        <v>1779</v>
      </c>
      <c r="BJ6" s="677" t="s">
        <v>1780</v>
      </c>
      <c r="BK6" s="678" t="s">
        <v>1781</v>
      </c>
      <c r="BL6" s="678" t="s">
        <v>1782</v>
      </c>
      <c r="BM6" s="678" t="s">
        <v>1783</v>
      </c>
      <c r="BP6" s="668" t="s">
        <v>1784</v>
      </c>
      <c r="BQ6" s="668">
        <f>C18*$B$20</f>
        <v>0</v>
      </c>
      <c r="BS6" s="668" t="s">
        <v>1779</v>
      </c>
      <c r="BT6" s="677" t="s">
        <v>1780</v>
      </c>
      <c r="BU6" s="678" t="s">
        <v>1781</v>
      </c>
      <c r="BV6" s="678" t="s">
        <v>1782</v>
      </c>
      <c r="BW6" s="678" t="s">
        <v>1783</v>
      </c>
    </row>
    <row r="7" spans="1:75" ht="15" thickBot="1" x14ac:dyDescent="0.4">
      <c r="A7" s="668" t="s">
        <v>1785</v>
      </c>
      <c r="B7" s="675">
        <f>B4+0.01</f>
        <v>0.01</v>
      </c>
      <c r="D7" s="680">
        <f>SUM(L13:L18)</f>
        <v>0</v>
      </c>
      <c r="R7" s="668" t="s">
        <v>1786</v>
      </c>
      <c r="S7" s="681">
        <f>((1+B7)^(1/2))-1</f>
        <v>4.9875621120889502E-3</v>
      </c>
      <c r="X7" s="668">
        <f ca="1">S6</f>
        <v>0</v>
      </c>
      <c r="AB7" s="668" t="s">
        <v>1786</v>
      </c>
      <c r="AC7" s="681">
        <f>((1+$B$7)^(1/2))-1</f>
        <v>4.9875621120889502E-3</v>
      </c>
      <c r="AH7" s="668">
        <f ca="1">AC6</f>
        <v>0</v>
      </c>
      <c r="AL7" s="668" t="s">
        <v>1786</v>
      </c>
      <c r="AM7" s="681">
        <f>((1+$B$7)^(1/2))-1</f>
        <v>4.9875621120889502E-3</v>
      </c>
      <c r="AR7" s="668">
        <f ca="1">AM6</f>
        <v>0</v>
      </c>
      <c r="AV7" s="668" t="s">
        <v>1786</v>
      </c>
      <c r="AW7" s="681">
        <f>((1+$B$7)^(1/2))-1</f>
        <v>4.9875621120889502E-3</v>
      </c>
      <c r="BB7" s="668">
        <f ca="1">AW6</f>
        <v>0</v>
      </c>
      <c r="BF7" s="668" t="s">
        <v>1786</v>
      </c>
      <c r="BG7" s="681">
        <f>((1+$B$7)^(1/2))-1</f>
        <v>4.9875621120889502E-3</v>
      </c>
      <c r="BL7" s="668">
        <f ca="1">BG6</f>
        <v>0</v>
      </c>
      <c r="BP7" s="668" t="s">
        <v>1786</v>
      </c>
      <c r="BQ7" s="681">
        <f>((1+$B$7)^(1/2))-1</f>
        <v>4.9875621120889502E-3</v>
      </c>
      <c r="BV7" s="668">
        <f>BQ6</f>
        <v>0</v>
      </c>
    </row>
    <row r="8" spans="1:75" ht="15" thickBot="1" x14ac:dyDescent="0.4">
      <c r="A8" s="668" t="s">
        <v>1787</v>
      </c>
      <c r="B8" s="674">
        <f>IF(GBER!C2="TEMPORARY FRAMEWORK",8,10)</f>
        <v>10</v>
      </c>
      <c r="C8" s="682"/>
      <c r="D8" s="668" t="s">
        <v>1788</v>
      </c>
      <c r="N8" s="1835" t="s">
        <v>1789</v>
      </c>
      <c r="O8" s="1836"/>
      <c r="R8" s="668" t="s">
        <v>1790</v>
      </c>
      <c r="S8" s="683">
        <f ca="1">((1+B6)^(1/2))-1</f>
        <v>4.9875621120889502E-3</v>
      </c>
      <c r="U8" s="668">
        <v>1</v>
      </c>
      <c r="V8" s="684">
        <f ca="1">X7*(($S$14))</f>
        <v>0</v>
      </c>
      <c r="W8" s="685">
        <f ca="1">$S$18</f>
        <v>0</v>
      </c>
      <c r="X8" s="686">
        <f ca="1">X7-Y8</f>
        <v>0</v>
      </c>
      <c r="Y8" s="686">
        <f ca="1">W8-V8</f>
        <v>0</v>
      </c>
      <c r="AB8" s="668" t="s">
        <v>1790</v>
      </c>
      <c r="AC8" s="683">
        <f ca="1">((1+$B$6)^(1/2))-1</f>
        <v>4.9875621120889502E-3</v>
      </c>
      <c r="AE8" s="668">
        <v>1</v>
      </c>
      <c r="AF8" s="684" t="e">
        <f ca="1">AH7*(($AC$14))</f>
        <v>#VALUE!</v>
      </c>
      <c r="AG8" s="685" t="e">
        <f ca="1">$AC$18</f>
        <v>#VALUE!</v>
      </c>
      <c r="AH8" s="686" t="e">
        <f ca="1">AH7-AI8</f>
        <v>#VALUE!</v>
      </c>
      <c r="AI8" s="686" t="e">
        <f ca="1">AG8-AF8</f>
        <v>#VALUE!</v>
      </c>
      <c r="AL8" s="668" t="s">
        <v>1790</v>
      </c>
      <c r="AM8" s="683">
        <f ca="1">((1+$B$6)^(1/2))-1</f>
        <v>4.9875621120889502E-3</v>
      </c>
      <c r="AO8" s="668">
        <v>1</v>
      </c>
      <c r="AP8" s="684" t="e">
        <f ca="1">AR7*(($AM$14))</f>
        <v>#VALUE!</v>
      </c>
      <c r="AQ8" s="685" t="e">
        <f ca="1">$AM$18</f>
        <v>#VALUE!</v>
      </c>
      <c r="AR8" s="686" t="e">
        <f ca="1">AR7-AS8</f>
        <v>#VALUE!</v>
      </c>
      <c r="AS8" s="686" t="e">
        <f ca="1">AQ8-AP8</f>
        <v>#VALUE!</v>
      </c>
      <c r="AV8" s="668" t="s">
        <v>1790</v>
      </c>
      <c r="AW8" s="683">
        <f ca="1">((1+$B$6)^(1/2))-1</f>
        <v>4.9875621120889502E-3</v>
      </c>
      <c r="AY8" s="668">
        <v>1</v>
      </c>
      <c r="AZ8" s="684" t="e">
        <f ca="1">BB7*(($AW$14))</f>
        <v>#VALUE!</v>
      </c>
      <c r="BA8" s="685" t="e">
        <f ca="1">$AW$18</f>
        <v>#VALUE!</v>
      </c>
      <c r="BB8" s="686" t="e">
        <f ca="1">BB7-BC8</f>
        <v>#VALUE!</v>
      </c>
      <c r="BC8" s="686" t="e">
        <f ca="1">BA8-AZ8</f>
        <v>#VALUE!</v>
      </c>
      <c r="BF8" s="668" t="s">
        <v>1790</v>
      </c>
      <c r="BG8" s="683">
        <f ca="1">((1+$B$6)^(1/2))-1</f>
        <v>4.9875621120889502E-3</v>
      </c>
      <c r="BI8" s="668">
        <v>1</v>
      </c>
      <c r="BJ8" s="684" t="e">
        <f ca="1">BL7*((BG14))</f>
        <v>#VALUE!</v>
      </c>
      <c r="BK8" s="685" t="e">
        <f ca="1">$BG$18</f>
        <v>#VALUE!</v>
      </c>
      <c r="BL8" s="686" t="e">
        <f ca="1">BL7-BM8</f>
        <v>#VALUE!</v>
      </c>
      <c r="BM8" s="686" t="e">
        <f ca="1">BK8-BJ8</f>
        <v>#VALUE!</v>
      </c>
      <c r="BP8" s="668" t="s">
        <v>1790</v>
      </c>
      <c r="BQ8" s="683">
        <f ca="1">((1+$B$6)^(1/2))-1</f>
        <v>4.9875621120889502E-3</v>
      </c>
      <c r="BS8" s="668">
        <v>1</v>
      </c>
      <c r="BT8" s="684">
        <f ca="1">BV7*((BQ14))</f>
        <v>0</v>
      </c>
      <c r="BU8" s="685">
        <f ca="1">$BQ$18</f>
        <v>0</v>
      </c>
      <c r="BV8" s="686">
        <f ca="1">BV7-BW8</f>
        <v>0</v>
      </c>
      <c r="BW8" s="686">
        <f ca="1">BU8-BT8</f>
        <v>0</v>
      </c>
    </row>
    <row r="9" spans="1:75" ht="14.5" x14ac:dyDescent="0.35">
      <c r="D9" s="680">
        <f ca="1">D4+D7</f>
        <v>0</v>
      </c>
      <c r="F9" s="680"/>
      <c r="M9" s="687"/>
      <c r="N9" s="688">
        <v>1</v>
      </c>
      <c r="O9" s="688">
        <v>2</v>
      </c>
      <c r="R9" s="668" t="s">
        <v>1791</v>
      </c>
      <c r="S9" s="689">
        <f>B8</f>
        <v>10</v>
      </c>
      <c r="U9" s="668">
        <v>2</v>
      </c>
      <c r="V9" s="684">
        <f ca="1">X8*(($S$8))</f>
        <v>0</v>
      </c>
      <c r="W9" s="685">
        <f t="shared" ref="W9:W27" ca="1" si="0">$S$18</f>
        <v>0</v>
      </c>
      <c r="X9" s="686">
        <f t="shared" ref="X9:X27" ca="1" si="1">X8-Y9</f>
        <v>0</v>
      </c>
      <c r="Y9" s="686">
        <f t="shared" ref="Y9:Y27" ca="1" si="2">W9-V9</f>
        <v>0</v>
      </c>
      <c r="AB9" s="668" t="s">
        <v>1791</v>
      </c>
      <c r="AC9" s="689">
        <f>S9</f>
        <v>10</v>
      </c>
      <c r="AE9" s="668">
        <v>2</v>
      </c>
      <c r="AF9" s="684" t="e">
        <f ca="1">AH8*(($AC$8))</f>
        <v>#VALUE!</v>
      </c>
      <c r="AG9" s="685" t="e">
        <f t="shared" ref="AG9:AG27" ca="1" si="3">$AC$18</f>
        <v>#VALUE!</v>
      </c>
      <c r="AH9" s="686" t="e">
        <f t="shared" ref="AH9:AH27" ca="1" si="4">AH8-AI9</f>
        <v>#VALUE!</v>
      </c>
      <c r="AI9" s="686" t="e">
        <f t="shared" ref="AI9:AI27" ca="1" si="5">AG9-AF9</f>
        <v>#VALUE!</v>
      </c>
      <c r="AL9" s="668" t="s">
        <v>1791</v>
      </c>
      <c r="AM9" s="689">
        <f>AC9</f>
        <v>10</v>
      </c>
      <c r="AO9" s="668">
        <v>2</v>
      </c>
      <c r="AP9" s="690" t="e">
        <f ca="1">AR8*(($AM$8))</f>
        <v>#VALUE!</v>
      </c>
      <c r="AQ9" s="685" t="e">
        <f t="shared" ref="AQ9:AQ27" ca="1" si="6">$AM$18</f>
        <v>#VALUE!</v>
      </c>
      <c r="AR9" s="686" t="e">
        <f t="shared" ref="AR9:AR22" ca="1" si="7">AR8-AS9</f>
        <v>#VALUE!</v>
      </c>
      <c r="AS9" s="686" t="e">
        <f t="shared" ref="AS9:AS27" ca="1" si="8">AQ9-AP9</f>
        <v>#VALUE!</v>
      </c>
      <c r="AV9" s="668" t="s">
        <v>1791</v>
      </c>
      <c r="AW9" s="689">
        <f>AM9</f>
        <v>10</v>
      </c>
      <c r="AY9" s="668">
        <v>2</v>
      </c>
      <c r="AZ9" s="684" t="e">
        <f ca="1">BB8*(($AW$8))</f>
        <v>#VALUE!</v>
      </c>
      <c r="BA9" s="685" t="e">
        <f t="shared" ref="BA9:BA27" ca="1" si="9">$AW$18</f>
        <v>#VALUE!</v>
      </c>
      <c r="BB9" s="686" t="e">
        <f t="shared" ref="BB9:BB22" ca="1" si="10">BB8-BC9</f>
        <v>#VALUE!</v>
      </c>
      <c r="BC9" s="686" t="e">
        <f t="shared" ref="BC9:BC27" ca="1" si="11">BA9-AZ9</f>
        <v>#VALUE!</v>
      </c>
      <c r="BF9" s="668" t="s">
        <v>1791</v>
      </c>
      <c r="BG9" s="689">
        <f>AW9</f>
        <v>10</v>
      </c>
      <c r="BI9" s="668">
        <v>2</v>
      </c>
      <c r="BJ9" s="684" t="e">
        <f ca="1">BL8*(($BG$8))</f>
        <v>#VALUE!</v>
      </c>
      <c r="BK9" s="685" t="e">
        <f t="shared" ref="BK9:BK27" ca="1" si="12">$BG$18</f>
        <v>#VALUE!</v>
      </c>
      <c r="BL9" s="686" t="e">
        <f t="shared" ref="BL9:BL22" ca="1" si="13">BL8-BM9</f>
        <v>#VALUE!</v>
      </c>
      <c r="BM9" s="686" t="e">
        <f t="shared" ref="BM9:BM27" ca="1" si="14">BK9-BJ9</f>
        <v>#VALUE!</v>
      </c>
      <c r="BP9" s="668" t="s">
        <v>1791</v>
      </c>
      <c r="BQ9" s="689">
        <f>BG9</f>
        <v>10</v>
      </c>
      <c r="BS9" s="668">
        <v>2</v>
      </c>
      <c r="BT9" s="684">
        <f ca="1">BV8*(($BQ$8))</f>
        <v>0</v>
      </c>
      <c r="BU9" s="685">
        <f t="shared" ref="BU9:BU27" ca="1" si="15">$BQ$18</f>
        <v>0</v>
      </c>
      <c r="BV9" s="686">
        <f t="shared" ref="BV9:BV22" ca="1" si="16">BV8-BW9</f>
        <v>0</v>
      </c>
      <c r="BW9" s="686">
        <f t="shared" ref="BW9:BW27" ca="1" si="17">BU9-BT9</f>
        <v>0</v>
      </c>
    </row>
    <row r="10" spans="1:75" ht="14.5" x14ac:dyDescent="0.35">
      <c r="C10" s="682"/>
      <c r="M10" s="687" t="s">
        <v>1792</v>
      </c>
      <c r="N10" s="674">
        <f>100000/0.75</f>
        <v>133333.33333333334</v>
      </c>
      <c r="O10" s="674"/>
      <c r="R10" s="691" t="s">
        <v>542</v>
      </c>
      <c r="U10" s="668">
        <v>3</v>
      </c>
      <c r="V10" s="684">
        <f ca="1">X9*(($S$8))</f>
        <v>0</v>
      </c>
      <c r="W10" s="685">
        <f t="shared" ca="1" si="0"/>
        <v>0</v>
      </c>
      <c r="X10" s="686">
        <f t="shared" ca="1" si="1"/>
        <v>0</v>
      </c>
      <c r="Y10" s="686">
        <f t="shared" ca="1" si="2"/>
        <v>0</v>
      </c>
      <c r="AB10" s="691" t="s">
        <v>542</v>
      </c>
      <c r="AE10" s="668">
        <v>3</v>
      </c>
      <c r="AF10" s="684" t="e">
        <f t="shared" ref="AF10:AF27" ca="1" si="18">AH9*(($AC$8))</f>
        <v>#VALUE!</v>
      </c>
      <c r="AG10" s="685" t="e">
        <f t="shared" ca="1" si="3"/>
        <v>#VALUE!</v>
      </c>
      <c r="AH10" s="686" t="e">
        <f t="shared" ca="1" si="4"/>
        <v>#VALUE!</v>
      </c>
      <c r="AI10" s="686" t="e">
        <f t="shared" ca="1" si="5"/>
        <v>#VALUE!</v>
      </c>
      <c r="AL10" s="691" t="s">
        <v>542</v>
      </c>
      <c r="AO10" s="668">
        <v>3</v>
      </c>
      <c r="AP10" s="690" t="e">
        <f t="shared" ref="AP10:AP26" ca="1" si="19">AR9*(($AM$8))</f>
        <v>#VALUE!</v>
      </c>
      <c r="AQ10" s="685" t="e">
        <f t="shared" ca="1" si="6"/>
        <v>#VALUE!</v>
      </c>
      <c r="AR10" s="686" t="e">
        <f t="shared" ca="1" si="7"/>
        <v>#VALUE!</v>
      </c>
      <c r="AS10" s="686" t="e">
        <f t="shared" ca="1" si="8"/>
        <v>#VALUE!</v>
      </c>
      <c r="AV10" s="691" t="s">
        <v>542</v>
      </c>
      <c r="AY10" s="668">
        <v>3</v>
      </c>
      <c r="AZ10" s="684" t="e">
        <f t="shared" ref="AZ10:AZ25" ca="1" si="20">BB9*(($AW$8))</f>
        <v>#VALUE!</v>
      </c>
      <c r="BA10" s="685" t="e">
        <f t="shared" ca="1" si="9"/>
        <v>#VALUE!</v>
      </c>
      <c r="BB10" s="686" t="e">
        <f t="shared" ca="1" si="10"/>
        <v>#VALUE!</v>
      </c>
      <c r="BC10" s="686" t="e">
        <f t="shared" ca="1" si="11"/>
        <v>#VALUE!</v>
      </c>
      <c r="BF10" s="691" t="s">
        <v>542</v>
      </c>
      <c r="BI10" s="668">
        <v>3</v>
      </c>
      <c r="BJ10" s="684" t="e">
        <f t="shared" ref="BJ10:BJ27" ca="1" si="21">BL9*(($BG$8))</f>
        <v>#VALUE!</v>
      </c>
      <c r="BK10" s="685" t="e">
        <f t="shared" ca="1" si="12"/>
        <v>#VALUE!</v>
      </c>
      <c r="BL10" s="686" t="e">
        <f t="shared" ca="1" si="13"/>
        <v>#VALUE!</v>
      </c>
      <c r="BM10" s="686" t="e">
        <f t="shared" ca="1" si="14"/>
        <v>#VALUE!</v>
      </c>
      <c r="BP10" s="691" t="s">
        <v>542</v>
      </c>
      <c r="BS10" s="668">
        <v>3</v>
      </c>
      <c r="BT10" s="692">
        <f ca="1">BV9*(($BQ$8))</f>
        <v>0</v>
      </c>
      <c r="BU10" s="685">
        <f t="shared" ca="1" si="15"/>
        <v>0</v>
      </c>
      <c r="BV10" s="686">
        <f t="shared" ca="1" si="16"/>
        <v>0</v>
      </c>
      <c r="BW10" s="686">
        <f t="shared" ca="1" si="17"/>
        <v>0</v>
      </c>
    </row>
    <row r="11" spans="1:75" ht="14.5" x14ac:dyDescent="0.35">
      <c r="M11" s="668" t="s">
        <v>1793</v>
      </c>
      <c r="N11" s="693">
        <f>N10*N6</f>
        <v>100000</v>
      </c>
      <c r="O11" s="693">
        <f>O10*N6</f>
        <v>0</v>
      </c>
      <c r="R11" s="691" t="s">
        <v>1794</v>
      </c>
      <c r="S11" s="668">
        <f>2</f>
        <v>2</v>
      </c>
      <c r="U11" s="668">
        <v>4</v>
      </c>
      <c r="V11" s="684">
        <f t="shared" ref="V11:V27" ca="1" si="22">X10*(($S$8))</f>
        <v>0</v>
      </c>
      <c r="W11" s="685">
        <f t="shared" ca="1" si="0"/>
        <v>0</v>
      </c>
      <c r="X11" s="686">
        <f t="shared" ca="1" si="1"/>
        <v>0</v>
      </c>
      <c r="Y11" s="686">
        <f t="shared" ca="1" si="2"/>
        <v>0</v>
      </c>
      <c r="AB11" s="691" t="s">
        <v>1794</v>
      </c>
      <c r="AC11" s="668">
        <f>2</f>
        <v>2</v>
      </c>
      <c r="AE11" s="668">
        <v>4</v>
      </c>
      <c r="AF11" s="684" t="e">
        <f t="shared" ca="1" si="18"/>
        <v>#VALUE!</v>
      </c>
      <c r="AG11" s="685" t="e">
        <f t="shared" ca="1" si="3"/>
        <v>#VALUE!</v>
      </c>
      <c r="AH11" s="686" t="e">
        <f t="shared" ca="1" si="4"/>
        <v>#VALUE!</v>
      </c>
      <c r="AI11" s="686" t="e">
        <f t="shared" ca="1" si="5"/>
        <v>#VALUE!</v>
      </c>
      <c r="AL11" s="691" t="s">
        <v>1794</v>
      </c>
      <c r="AM11" s="668">
        <f>2</f>
        <v>2</v>
      </c>
      <c r="AO11" s="668">
        <v>4</v>
      </c>
      <c r="AP11" s="690" t="e">
        <f t="shared" ca="1" si="19"/>
        <v>#VALUE!</v>
      </c>
      <c r="AQ11" s="685" t="e">
        <f t="shared" ca="1" si="6"/>
        <v>#VALUE!</v>
      </c>
      <c r="AR11" s="686" t="e">
        <f t="shared" ca="1" si="7"/>
        <v>#VALUE!</v>
      </c>
      <c r="AS11" s="686" t="e">
        <f t="shared" ca="1" si="8"/>
        <v>#VALUE!</v>
      </c>
      <c r="AV11" s="691" t="s">
        <v>1794</v>
      </c>
      <c r="AW11" s="668">
        <f>2</f>
        <v>2</v>
      </c>
      <c r="AY11" s="668">
        <v>4</v>
      </c>
      <c r="AZ11" s="684" t="e">
        <f t="shared" ca="1" si="20"/>
        <v>#VALUE!</v>
      </c>
      <c r="BA11" s="685" t="e">
        <f t="shared" ca="1" si="9"/>
        <v>#VALUE!</v>
      </c>
      <c r="BB11" s="686" t="e">
        <f t="shared" ca="1" si="10"/>
        <v>#VALUE!</v>
      </c>
      <c r="BC11" s="686" t="e">
        <f t="shared" ca="1" si="11"/>
        <v>#VALUE!</v>
      </c>
      <c r="BF11" s="691" t="s">
        <v>1794</v>
      </c>
      <c r="BG11" s="668">
        <f>2</f>
        <v>2</v>
      </c>
      <c r="BI11" s="668">
        <v>4</v>
      </c>
      <c r="BJ11" s="684" t="e">
        <f t="shared" ca="1" si="21"/>
        <v>#VALUE!</v>
      </c>
      <c r="BK11" s="685" t="e">
        <f t="shared" ca="1" si="12"/>
        <v>#VALUE!</v>
      </c>
      <c r="BL11" s="686" t="e">
        <f t="shared" ca="1" si="13"/>
        <v>#VALUE!</v>
      </c>
      <c r="BM11" s="686" t="e">
        <f t="shared" ca="1" si="14"/>
        <v>#VALUE!</v>
      </c>
      <c r="BP11" s="691" t="s">
        <v>1794</v>
      </c>
      <c r="BQ11" s="668">
        <f>2</f>
        <v>2</v>
      </c>
      <c r="BS11" s="668">
        <v>4</v>
      </c>
      <c r="BT11" s="684">
        <f t="shared" ref="BT11:BT27" ca="1" si="23">BV10*(($BQ$8))</f>
        <v>0</v>
      </c>
      <c r="BU11" s="685">
        <f t="shared" ca="1" si="15"/>
        <v>0</v>
      </c>
      <c r="BV11" s="686">
        <f t="shared" ca="1" si="16"/>
        <v>0</v>
      </c>
      <c r="BW11" s="686">
        <f t="shared" ca="1" si="17"/>
        <v>0</v>
      </c>
    </row>
    <row r="12" spans="1:75" ht="14.5" x14ac:dyDescent="0.35">
      <c r="B12" s="668" t="s">
        <v>1795</v>
      </c>
      <c r="C12" s="668" t="s">
        <v>1796</v>
      </c>
      <c r="D12" s="668" t="s">
        <v>1797</v>
      </c>
      <c r="E12" s="668" t="s">
        <v>1798</v>
      </c>
      <c r="F12" s="668" t="s">
        <v>1799</v>
      </c>
      <c r="G12" s="668" t="s">
        <v>1800</v>
      </c>
      <c r="H12" s="668" t="s">
        <v>1801</v>
      </c>
      <c r="I12" s="668" t="s">
        <v>1802</v>
      </c>
      <c r="J12" s="668" t="s">
        <v>1803</v>
      </c>
      <c r="K12" s="668" t="s">
        <v>1804</v>
      </c>
      <c r="L12" s="668" t="s">
        <v>1805</v>
      </c>
      <c r="U12" s="668">
        <v>5</v>
      </c>
      <c r="V12" s="684">
        <f t="shared" ca="1" si="22"/>
        <v>0</v>
      </c>
      <c r="W12" s="685">
        <f t="shared" ca="1" si="0"/>
        <v>0</v>
      </c>
      <c r="X12" s="686">
        <f t="shared" ca="1" si="1"/>
        <v>0</v>
      </c>
      <c r="Y12" s="686">
        <f t="shared" ca="1" si="2"/>
        <v>0</v>
      </c>
      <c r="AE12" s="668">
        <v>5</v>
      </c>
      <c r="AF12" s="684" t="e">
        <f t="shared" ca="1" si="18"/>
        <v>#VALUE!</v>
      </c>
      <c r="AG12" s="685" t="e">
        <f t="shared" ca="1" si="3"/>
        <v>#VALUE!</v>
      </c>
      <c r="AH12" s="686" t="e">
        <f t="shared" ca="1" si="4"/>
        <v>#VALUE!</v>
      </c>
      <c r="AI12" s="686" t="e">
        <f t="shared" ca="1" si="5"/>
        <v>#VALUE!</v>
      </c>
      <c r="AO12" s="668">
        <v>5</v>
      </c>
      <c r="AP12" s="690" t="e">
        <f t="shared" ca="1" si="19"/>
        <v>#VALUE!</v>
      </c>
      <c r="AQ12" s="685" t="e">
        <f t="shared" ca="1" si="6"/>
        <v>#VALUE!</v>
      </c>
      <c r="AR12" s="686" t="e">
        <f t="shared" ca="1" si="7"/>
        <v>#VALUE!</v>
      </c>
      <c r="AS12" s="686" t="e">
        <f t="shared" ca="1" si="8"/>
        <v>#VALUE!</v>
      </c>
      <c r="AY12" s="668">
        <v>5</v>
      </c>
      <c r="AZ12" s="684" t="e">
        <f t="shared" ca="1" si="20"/>
        <v>#VALUE!</v>
      </c>
      <c r="BA12" s="685" t="e">
        <f t="shared" ca="1" si="9"/>
        <v>#VALUE!</v>
      </c>
      <c r="BB12" s="686" t="e">
        <f t="shared" ca="1" si="10"/>
        <v>#VALUE!</v>
      </c>
      <c r="BC12" s="686" t="e">
        <f t="shared" ca="1" si="11"/>
        <v>#VALUE!</v>
      </c>
      <c r="BI12" s="668">
        <v>5</v>
      </c>
      <c r="BJ12" s="684" t="e">
        <f t="shared" ca="1" si="21"/>
        <v>#VALUE!</v>
      </c>
      <c r="BK12" s="685" t="e">
        <f t="shared" ca="1" si="12"/>
        <v>#VALUE!</v>
      </c>
      <c r="BL12" s="686" t="e">
        <f t="shared" ca="1" si="13"/>
        <v>#VALUE!</v>
      </c>
      <c r="BM12" s="686" t="e">
        <f t="shared" ca="1" si="14"/>
        <v>#VALUE!</v>
      </c>
      <c r="BS12" s="668">
        <v>5</v>
      </c>
      <c r="BT12" s="684">
        <f t="shared" ca="1" si="23"/>
        <v>0</v>
      </c>
      <c r="BU12" s="685">
        <f t="shared" ca="1" si="15"/>
        <v>0</v>
      </c>
      <c r="BV12" s="686">
        <f t="shared" ca="1" si="16"/>
        <v>0</v>
      </c>
      <c r="BW12" s="686">
        <f t="shared" ca="1" si="17"/>
        <v>0</v>
      </c>
    </row>
    <row r="13" spans="1:75" ht="14.5" x14ac:dyDescent="0.35">
      <c r="A13" s="668" t="s">
        <v>1806</v>
      </c>
      <c r="B13" s="694">
        <f>GBER!H24</f>
        <v>0</v>
      </c>
      <c r="C13" s="695">
        <f ca="1">GBER!K24</f>
        <v>0</v>
      </c>
      <c r="D13" s="696">
        <f>_xlfn.DAYS(B23,B13)</f>
        <v>335</v>
      </c>
      <c r="E13" s="668">
        <f t="shared" ref="E13:E18" si="24">+IF(D13&gt;183,183,D13)</f>
        <v>183</v>
      </c>
      <c r="F13" s="668">
        <f>((1+$B$7)^(E13/366))-1</f>
        <v>4.9875621120889502E-3</v>
      </c>
      <c r="G13" s="668">
        <f>IF(D13&gt;183,D13-183,0)</f>
        <v>152</v>
      </c>
      <c r="H13" s="668">
        <f>(B13-$B$24)/183</f>
        <v>0</v>
      </c>
      <c r="I13" s="695">
        <f ca="1">GBER!L24</f>
        <v>0</v>
      </c>
      <c r="J13" s="697">
        <f ca="1">IFERROR(I13*(1+$B$7)^(_xlfn.DAYS($B$24,B13)/366),"")</f>
        <v>0</v>
      </c>
      <c r="K13" s="698"/>
      <c r="L13" s="679">
        <f>IFERROR(K13*(1+$B$7)^(_xlfn.DAYS($B$24,B13)/366),"")</f>
        <v>0</v>
      </c>
      <c r="R13" s="668" t="s">
        <v>1807</v>
      </c>
      <c r="S13" s="699">
        <f ca="1">(1-1*((1+S8)^(-S9*S11)))/S8</f>
        <v>18.989847781032626</v>
      </c>
      <c r="T13" s="686"/>
      <c r="U13" s="668">
        <v>6</v>
      </c>
      <c r="V13" s="684">
        <f t="shared" ca="1" si="22"/>
        <v>0</v>
      </c>
      <c r="W13" s="685">
        <f t="shared" ca="1" si="0"/>
        <v>0</v>
      </c>
      <c r="X13" s="686">
        <f t="shared" ca="1" si="1"/>
        <v>0</v>
      </c>
      <c r="Y13" s="686">
        <f t="shared" ca="1" si="2"/>
        <v>0</v>
      </c>
      <c r="AB13" s="668" t="s">
        <v>1807</v>
      </c>
      <c r="AC13" s="699">
        <f ca="1">(1-1*((1+AC8)^(-AC9*AC11)))/AC8</f>
        <v>18.989847781032626</v>
      </c>
      <c r="AE13" s="668">
        <v>6</v>
      </c>
      <c r="AF13" s="684" t="e">
        <f t="shared" ca="1" si="18"/>
        <v>#VALUE!</v>
      </c>
      <c r="AG13" s="685" t="e">
        <f t="shared" ca="1" si="3"/>
        <v>#VALUE!</v>
      </c>
      <c r="AH13" s="686" t="e">
        <f t="shared" ca="1" si="4"/>
        <v>#VALUE!</v>
      </c>
      <c r="AI13" s="686" t="e">
        <f t="shared" ca="1" si="5"/>
        <v>#VALUE!</v>
      </c>
      <c r="AL13" s="668" t="s">
        <v>1807</v>
      </c>
      <c r="AM13" s="699">
        <f ca="1">(1-1*((1+AM8)^(-AM9*AM11)))/AM8</f>
        <v>18.989847781032626</v>
      </c>
      <c r="AO13" s="668">
        <v>6</v>
      </c>
      <c r="AP13" s="690" t="e">
        <f t="shared" ca="1" si="19"/>
        <v>#VALUE!</v>
      </c>
      <c r="AQ13" s="685" t="e">
        <f t="shared" ca="1" si="6"/>
        <v>#VALUE!</v>
      </c>
      <c r="AR13" s="686" t="e">
        <f t="shared" ca="1" si="7"/>
        <v>#VALUE!</v>
      </c>
      <c r="AS13" s="686" t="e">
        <f t="shared" ca="1" si="8"/>
        <v>#VALUE!</v>
      </c>
      <c r="AV13" s="668" t="s">
        <v>1807</v>
      </c>
      <c r="AW13" s="699">
        <f ca="1">(1-1*((1+AW8)^(-AW9*AW11)))/AW8</f>
        <v>18.989847781032626</v>
      </c>
      <c r="AY13" s="668">
        <v>6</v>
      </c>
      <c r="AZ13" s="684" t="e">
        <f t="shared" ca="1" si="20"/>
        <v>#VALUE!</v>
      </c>
      <c r="BA13" s="685" t="e">
        <f t="shared" ca="1" si="9"/>
        <v>#VALUE!</v>
      </c>
      <c r="BB13" s="686" t="e">
        <f t="shared" ca="1" si="10"/>
        <v>#VALUE!</v>
      </c>
      <c r="BC13" s="686" t="e">
        <f t="shared" ca="1" si="11"/>
        <v>#VALUE!</v>
      </c>
      <c r="BF13" s="668" t="s">
        <v>1807</v>
      </c>
      <c r="BG13" s="699">
        <f ca="1">(1-1*((1+BG8)^(-BG9*BG11)))/BG8</f>
        <v>18.989847781032626</v>
      </c>
      <c r="BI13" s="668">
        <v>6</v>
      </c>
      <c r="BJ13" s="684" t="e">
        <f t="shared" ca="1" si="21"/>
        <v>#VALUE!</v>
      </c>
      <c r="BK13" s="685" t="e">
        <f t="shared" ca="1" si="12"/>
        <v>#VALUE!</v>
      </c>
      <c r="BL13" s="686" t="e">
        <f t="shared" ca="1" si="13"/>
        <v>#VALUE!</v>
      </c>
      <c r="BM13" s="686" t="e">
        <f t="shared" ca="1" si="14"/>
        <v>#VALUE!</v>
      </c>
      <c r="BP13" s="668" t="s">
        <v>1807</v>
      </c>
      <c r="BQ13" s="699">
        <f ca="1">(1-1*((1+BQ8)^(-BQ9*BQ11)))/BQ8</f>
        <v>18.989847781032626</v>
      </c>
      <c r="BS13" s="668">
        <v>6</v>
      </c>
      <c r="BT13" s="684">
        <f t="shared" ca="1" si="23"/>
        <v>0</v>
      </c>
      <c r="BU13" s="685">
        <f t="shared" ca="1" si="15"/>
        <v>0</v>
      </c>
      <c r="BV13" s="686">
        <f t="shared" ca="1" si="16"/>
        <v>0</v>
      </c>
      <c r="BW13" s="686">
        <f t="shared" ca="1" si="17"/>
        <v>0</v>
      </c>
    </row>
    <row r="14" spans="1:75" ht="15.5" x14ac:dyDescent="0.35">
      <c r="A14" s="668" t="s">
        <v>1808</v>
      </c>
      <c r="B14" s="694" t="str">
        <f>GBER!H25</f>
        <v/>
      </c>
      <c r="C14" s="695">
        <f ca="1">GBER!K25</f>
        <v>0</v>
      </c>
      <c r="D14" s="696" t="e">
        <f>_xlfn.DAYS($B$23,B14)</f>
        <v>#VALUE!</v>
      </c>
      <c r="E14" s="668" t="e">
        <f>+IF(D14&gt;183,183,D14)</f>
        <v>#VALUE!</v>
      </c>
      <c r="F14" s="668" t="e">
        <f>((1+$B$7)^(E14/366))-1</f>
        <v>#VALUE!</v>
      </c>
      <c r="G14" s="668" t="e">
        <f>IF(D14&gt;183,D14-183,0)</f>
        <v>#VALUE!</v>
      </c>
      <c r="H14" s="668" t="e">
        <f>(B14-$B$24)/183</f>
        <v>#VALUE!</v>
      </c>
      <c r="I14" s="695">
        <f ca="1">GBER!L25</f>
        <v>0</v>
      </c>
      <c r="J14" s="697" t="str">
        <f ca="1">IFERROR(I14*(1+$B$7)^(_xlfn.DAYS($B$24,B14)/366),"")</f>
        <v/>
      </c>
      <c r="K14" s="700"/>
      <c r="L14" s="679" t="str">
        <f t="shared" ref="L14:L17" si="25">IFERROR(K14*(1+$B$7)^(_xlfn.DAYS($B$24,B14)/366),"")</f>
        <v/>
      </c>
      <c r="M14" s="701" t="s">
        <v>488</v>
      </c>
      <c r="N14" s="702" t="e">
        <f ca="1">N34+N46</f>
        <v>#DIV/0!</v>
      </c>
      <c r="R14" s="668" t="s">
        <v>1809</v>
      </c>
      <c r="S14" s="703">
        <f ca="1">((1+$B$6)^(E13/366))-1</f>
        <v>4.9875621120889502E-3</v>
      </c>
      <c r="T14" s="1424"/>
      <c r="U14" s="668">
        <v>7</v>
      </c>
      <c r="V14" s="684">
        <f t="shared" ca="1" si="22"/>
        <v>0</v>
      </c>
      <c r="W14" s="685">
        <f t="shared" ca="1" si="0"/>
        <v>0</v>
      </c>
      <c r="X14" s="686">
        <f t="shared" ca="1" si="1"/>
        <v>0</v>
      </c>
      <c r="Y14" s="686">
        <f t="shared" ca="1" si="2"/>
        <v>0</v>
      </c>
      <c r="AB14" s="668" t="s">
        <v>1809</v>
      </c>
      <c r="AC14" s="683" t="e">
        <f ca="1">((1+$B$6)^(E14/366))-1</f>
        <v>#VALUE!</v>
      </c>
      <c r="AE14" s="668">
        <v>7</v>
      </c>
      <c r="AF14" s="684" t="e">
        <f t="shared" ca="1" si="18"/>
        <v>#VALUE!</v>
      </c>
      <c r="AG14" s="685" t="e">
        <f t="shared" ca="1" si="3"/>
        <v>#VALUE!</v>
      </c>
      <c r="AH14" s="686" t="e">
        <f t="shared" ca="1" si="4"/>
        <v>#VALUE!</v>
      </c>
      <c r="AI14" s="686" t="e">
        <f t="shared" ca="1" si="5"/>
        <v>#VALUE!</v>
      </c>
      <c r="AL14" s="668" t="s">
        <v>1809</v>
      </c>
      <c r="AM14" s="683" t="e">
        <f ca="1">((1+$B$6)^(E15/366))-1</f>
        <v>#VALUE!</v>
      </c>
      <c r="AO14" s="668">
        <v>7</v>
      </c>
      <c r="AP14" s="690" t="e">
        <f t="shared" ca="1" si="19"/>
        <v>#VALUE!</v>
      </c>
      <c r="AQ14" s="685" t="e">
        <f t="shared" ca="1" si="6"/>
        <v>#VALUE!</v>
      </c>
      <c r="AR14" s="686" t="e">
        <f t="shared" ca="1" si="7"/>
        <v>#VALUE!</v>
      </c>
      <c r="AS14" s="686" t="e">
        <f t="shared" ca="1" si="8"/>
        <v>#VALUE!</v>
      </c>
      <c r="AV14" s="668" t="s">
        <v>1809</v>
      </c>
      <c r="AW14" s="683" t="e">
        <f ca="1">((1+$B$6)^(E16/366))-1</f>
        <v>#VALUE!</v>
      </c>
      <c r="AY14" s="668">
        <v>7</v>
      </c>
      <c r="AZ14" s="684" t="e">
        <f t="shared" ca="1" si="20"/>
        <v>#VALUE!</v>
      </c>
      <c r="BA14" s="685" t="e">
        <f t="shared" ca="1" si="9"/>
        <v>#VALUE!</v>
      </c>
      <c r="BB14" s="686" t="e">
        <f t="shared" ca="1" si="10"/>
        <v>#VALUE!</v>
      </c>
      <c r="BC14" s="686" t="e">
        <f t="shared" ca="1" si="11"/>
        <v>#VALUE!</v>
      </c>
      <c r="BF14" s="668" t="s">
        <v>1809</v>
      </c>
      <c r="BG14" s="683" t="e">
        <f ca="1">((1+$B$6)^(E17/366))-1</f>
        <v>#VALUE!</v>
      </c>
      <c r="BI14" s="668">
        <v>7</v>
      </c>
      <c r="BJ14" s="684" t="e">
        <f t="shared" ca="1" si="21"/>
        <v>#VALUE!</v>
      </c>
      <c r="BK14" s="685" t="e">
        <f t="shared" ca="1" si="12"/>
        <v>#VALUE!</v>
      </c>
      <c r="BL14" s="686" t="e">
        <f t="shared" ca="1" si="13"/>
        <v>#VALUE!</v>
      </c>
      <c r="BM14" s="686" t="e">
        <f t="shared" ca="1" si="14"/>
        <v>#VALUE!</v>
      </c>
      <c r="BP14" s="668" t="s">
        <v>1809</v>
      </c>
      <c r="BQ14" s="683">
        <f ca="1">((1+$B$6)^(E18/366))-1</f>
        <v>4.9875621120889502E-3</v>
      </c>
      <c r="BS14" s="668">
        <v>7</v>
      </c>
      <c r="BT14" s="684">
        <f t="shared" ca="1" si="23"/>
        <v>0</v>
      </c>
      <c r="BU14" s="685">
        <f t="shared" ca="1" si="15"/>
        <v>0</v>
      </c>
      <c r="BV14" s="686">
        <f t="shared" ca="1" si="16"/>
        <v>0</v>
      </c>
      <c r="BW14" s="686">
        <f t="shared" ca="1" si="17"/>
        <v>0</v>
      </c>
    </row>
    <row r="15" spans="1:75" ht="14.5" x14ac:dyDescent="0.35">
      <c r="A15" s="668" t="s">
        <v>1810</v>
      </c>
      <c r="B15" s="694" t="str">
        <f>GBER!H26</f>
        <v/>
      </c>
      <c r="C15" s="695">
        <f ca="1">GBER!K26</f>
        <v>0</v>
      </c>
      <c r="D15" s="696" t="e">
        <f>_xlfn.DAYS($B$23,B15)</f>
        <v>#VALUE!</v>
      </c>
      <c r="E15" s="668" t="e">
        <f t="shared" si="24"/>
        <v>#VALUE!</v>
      </c>
      <c r="F15" s="668" t="e">
        <f>((1+$B$7)^(E15/366))-1</f>
        <v>#VALUE!</v>
      </c>
      <c r="G15" s="668" t="e">
        <f t="shared" ref="G15:G18" si="26">IF(D15&gt;183,D15-183,0)</f>
        <v>#VALUE!</v>
      </c>
      <c r="H15" s="668" t="e">
        <f>(B15-$B$24)/183</f>
        <v>#VALUE!</v>
      </c>
      <c r="I15" s="695">
        <f ca="1">GBER!L26</f>
        <v>0</v>
      </c>
      <c r="J15" s="697" t="str">
        <f t="shared" ref="J15:J18" ca="1" si="27">IFERROR(I15*(1+$B$7)^(_xlfn.DAYS($B$24,B15)/366),"")</f>
        <v/>
      </c>
      <c r="K15" s="700"/>
      <c r="L15" s="679" t="str">
        <f t="shared" si="25"/>
        <v/>
      </c>
      <c r="R15" s="668" t="s">
        <v>1811</v>
      </c>
      <c r="S15" s="681">
        <f>F13</f>
        <v>4.9875621120889502E-3</v>
      </c>
      <c r="U15" s="668">
        <v>8</v>
      </c>
      <c r="V15" s="684">
        <f t="shared" ca="1" si="22"/>
        <v>0</v>
      </c>
      <c r="W15" s="685">
        <f t="shared" ca="1" si="0"/>
        <v>0</v>
      </c>
      <c r="X15" s="686">
        <f t="shared" ca="1" si="1"/>
        <v>0</v>
      </c>
      <c r="Y15" s="686">
        <f t="shared" ca="1" si="2"/>
        <v>0</v>
      </c>
      <c r="AB15" s="668" t="s">
        <v>1811</v>
      </c>
      <c r="AC15" s="704" t="e">
        <f>F14</f>
        <v>#VALUE!</v>
      </c>
      <c r="AE15" s="668">
        <v>8</v>
      </c>
      <c r="AF15" s="684" t="e">
        <f t="shared" ca="1" si="18"/>
        <v>#VALUE!</v>
      </c>
      <c r="AG15" s="685" t="e">
        <f t="shared" ca="1" si="3"/>
        <v>#VALUE!</v>
      </c>
      <c r="AH15" s="686" t="e">
        <f t="shared" ca="1" si="4"/>
        <v>#VALUE!</v>
      </c>
      <c r="AI15" s="686" t="e">
        <f t="shared" ca="1" si="5"/>
        <v>#VALUE!</v>
      </c>
      <c r="AL15" s="668" t="s">
        <v>1811</v>
      </c>
      <c r="AM15" s="704" t="e">
        <f>F15</f>
        <v>#VALUE!</v>
      </c>
      <c r="AO15" s="668">
        <v>8</v>
      </c>
      <c r="AP15" s="690" t="e">
        <f t="shared" ca="1" si="19"/>
        <v>#VALUE!</v>
      </c>
      <c r="AQ15" s="685" t="e">
        <f t="shared" ca="1" si="6"/>
        <v>#VALUE!</v>
      </c>
      <c r="AR15" s="686" t="e">
        <f t="shared" ca="1" si="7"/>
        <v>#VALUE!</v>
      </c>
      <c r="AS15" s="686" t="e">
        <f t="shared" ca="1" si="8"/>
        <v>#VALUE!</v>
      </c>
      <c r="AV15" s="668" t="s">
        <v>1811</v>
      </c>
      <c r="AW15" s="704" t="e">
        <f>F16</f>
        <v>#VALUE!</v>
      </c>
      <c r="AY15" s="668">
        <v>8</v>
      </c>
      <c r="AZ15" s="684" t="e">
        <f t="shared" ca="1" si="20"/>
        <v>#VALUE!</v>
      </c>
      <c r="BA15" s="685" t="e">
        <f t="shared" ca="1" si="9"/>
        <v>#VALUE!</v>
      </c>
      <c r="BB15" s="686" t="e">
        <f t="shared" ca="1" si="10"/>
        <v>#VALUE!</v>
      </c>
      <c r="BC15" s="686" t="e">
        <f t="shared" ca="1" si="11"/>
        <v>#VALUE!</v>
      </c>
      <c r="BF15" s="668" t="s">
        <v>1811</v>
      </c>
      <c r="BG15" s="704" t="e">
        <f>F17</f>
        <v>#VALUE!</v>
      </c>
      <c r="BI15" s="668">
        <v>8</v>
      </c>
      <c r="BJ15" s="684" t="e">
        <f t="shared" ca="1" si="21"/>
        <v>#VALUE!</v>
      </c>
      <c r="BK15" s="685" t="e">
        <f t="shared" ca="1" si="12"/>
        <v>#VALUE!</v>
      </c>
      <c r="BL15" s="686" t="e">
        <f t="shared" ca="1" si="13"/>
        <v>#VALUE!</v>
      </c>
      <c r="BM15" s="686" t="e">
        <f t="shared" ca="1" si="14"/>
        <v>#VALUE!</v>
      </c>
      <c r="BP15" s="668" t="s">
        <v>1811</v>
      </c>
      <c r="BQ15" s="704">
        <f>F18</f>
        <v>4.9875621120889502E-3</v>
      </c>
      <c r="BS15" s="668">
        <v>8</v>
      </c>
      <c r="BT15" s="684">
        <f t="shared" ca="1" si="23"/>
        <v>0</v>
      </c>
      <c r="BU15" s="685">
        <f t="shared" ca="1" si="15"/>
        <v>0</v>
      </c>
      <c r="BV15" s="686">
        <f t="shared" ca="1" si="16"/>
        <v>0</v>
      </c>
      <c r="BW15" s="686">
        <f t="shared" ca="1" si="17"/>
        <v>0</v>
      </c>
    </row>
    <row r="16" spans="1:75" ht="14.5" x14ac:dyDescent="0.35">
      <c r="A16" s="668" t="s">
        <v>1812</v>
      </c>
      <c r="B16" s="694" t="str">
        <f>GBER!H27</f>
        <v/>
      </c>
      <c r="C16" s="695">
        <f ca="1">GBER!K27</f>
        <v>0</v>
      </c>
      <c r="D16" s="696" t="e">
        <f>_xlfn.DAYS($B$23,B16)</f>
        <v>#VALUE!</v>
      </c>
      <c r="E16" s="668" t="e">
        <f t="shared" si="24"/>
        <v>#VALUE!</v>
      </c>
      <c r="F16" s="668" t="e">
        <f>((1+$B$7)^(E16/366))-1</f>
        <v>#VALUE!</v>
      </c>
      <c r="G16" s="668" t="e">
        <f>IF(D16&gt;183,D16-183,0)</f>
        <v>#VALUE!</v>
      </c>
      <c r="H16" s="668" t="e">
        <f t="shared" ref="H16:H18" si="28">(B16-$B$24)/183</f>
        <v>#VALUE!</v>
      </c>
      <c r="I16" s="695">
        <f ca="1">GBER!L27</f>
        <v>0</v>
      </c>
      <c r="J16" s="697" t="str">
        <f t="shared" ca="1" si="27"/>
        <v/>
      </c>
      <c r="K16" s="700"/>
      <c r="L16" s="679" t="str">
        <f t="shared" si="25"/>
        <v/>
      </c>
      <c r="R16" s="668" t="s">
        <v>1813</v>
      </c>
      <c r="S16" s="668">
        <f ca="1">+(S6*S8)-(S6*S14)</f>
        <v>0</v>
      </c>
      <c r="U16" s="668">
        <v>9</v>
      </c>
      <c r="V16" s="684">
        <f t="shared" ca="1" si="22"/>
        <v>0</v>
      </c>
      <c r="W16" s="685">
        <f t="shared" ca="1" si="0"/>
        <v>0</v>
      </c>
      <c r="X16" s="686">
        <f t="shared" ca="1" si="1"/>
        <v>0</v>
      </c>
      <c r="Y16" s="686">
        <f t="shared" ca="1" si="2"/>
        <v>0</v>
      </c>
      <c r="AB16" s="668" t="s">
        <v>1813</v>
      </c>
      <c r="AC16" s="681" t="e">
        <f ca="1">+(AC6*AC8)-(AC6*AC14)</f>
        <v>#VALUE!</v>
      </c>
      <c r="AE16" s="668">
        <v>9</v>
      </c>
      <c r="AF16" s="684" t="e">
        <f t="shared" ca="1" si="18"/>
        <v>#VALUE!</v>
      </c>
      <c r="AG16" s="685" t="e">
        <f t="shared" ca="1" si="3"/>
        <v>#VALUE!</v>
      </c>
      <c r="AH16" s="686" t="e">
        <f t="shared" ca="1" si="4"/>
        <v>#VALUE!</v>
      </c>
      <c r="AI16" s="686" t="e">
        <f t="shared" ca="1" si="5"/>
        <v>#VALUE!</v>
      </c>
      <c r="AL16" s="668" t="s">
        <v>1813</v>
      </c>
      <c r="AM16" s="681" t="e">
        <f ca="1">+(AM6*AM8)-(AM6*AM14)</f>
        <v>#VALUE!</v>
      </c>
      <c r="AO16" s="668">
        <v>9</v>
      </c>
      <c r="AP16" s="690" t="e">
        <f t="shared" ca="1" si="19"/>
        <v>#VALUE!</v>
      </c>
      <c r="AQ16" s="685" t="e">
        <f t="shared" ca="1" si="6"/>
        <v>#VALUE!</v>
      </c>
      <c r="AR16" s="686" t="e">
        <f t="shared" ca="1" si="7"/>
        <v>#VALUE!</v>
      </c>
      <c r="AS16" s="686" t="e">
        <f t="shared" ca="1" si="8"/>
        <v>#VALUE!</v>
      </c>
      <c r="AV16" s="668" t="s">
        <v>1813</v>
      </c>
      <c r="AW16" s="681" t="e">
        <f ca="1">+(AW6*AW8)-(AW6*AW14)</f>
        <v>#VALUE!</v>
      </c>
      <c r="AY16" s="668">
        <v>9</v>
      </c>
      <c r="AZ16" s="684" t="e">
        <f t="shared" ca="1" si="20"/>
        <v>#VALUE!</v>
      </c>
      <c r="BA16" s="685" t="e">
        <f t="shared" ca="1" si="9"/>
        <v>#VALUE!</v>
      </c>
      <c r="BB16" s="686" t="e">
        <f t="shared" ca="1" si="10"/>
        <v>#VALUE!</v>
      </c>
      <c r="BC16" s="686" t="e">
        <f t="shared" ca="1" si="11"/>
        <v>#VALUE!</v>
      </c>
      <c r="BF16" s="668" t="s">
        <v>1813</v>
      </c>
      <c r="BG16" s="681" t="e">
        <f ca="1">+(BG6*BG8)-(BG6*BG14)</f>
        <v>#VALUE!</v>
      </c>
      <c r="BI16" s="668">
        <v>9</v>
      </c>
      <c r="BJ16" s="684" t="e">
        <f t="shared" ca="1" si="21"/>
        <v>#VALUE!</v>
      </c>
      <c r="BK16" s="685" t="e">
        <f t="shared" ca="1" si="12"/>
        <v>#VALUE!</v>
      </c>
      <c r="BL16" s="686" t="e">
        <f t="shared" ca="1" si="13"/>
        <v>#VALUE!</v>
      </c>
      <c r="BM16" s="686" t="e">
        <f t="shared" ca="1" si="14"/>
        <v>#VALUE!</v>
      </c>
      <c r="BP16" s="668" t="s">
        <v>1813</v>
      </c>
      <c r="BQ16" s="681">
        <f ca="1">+(BQ6*BQ8)-(BQ6*BQ14)</f>
        <v>0</v>
      </c>
      <c r="BS16" s="668">
        <v>9</v>
      </c>
      <c r="BT16" s="684">
        <f t="shared" ca="1" si="23"/>
        <v>0</v>
      </c>
      <c r="BU16" s="685">
        <f t="shared" ca="1" si="15"/>
        <v>0</v>
      </c>
      <c r="BV16" s="686">
        <f t="shared" ca="1" si="16"/>
        <v>0</v>
      </c>
      <c r="BW16" s="686">
        <f t="shared" ca="1" si="17"/>
        <v>0</v>
      </c>
    </row>
    <row r="17" spans="1:75" ht="14.5" x14ac:dyDescent="0.35">
      <c r="A17" s="668" t="s">
        <v>1814</v>
      </c>
      <c r="B17" s="694" t="str">
        <f>GBER!H28</f>
        <v/>
      </c>
      <c r="C17" s="695">
        <f ca="1">GBER!K28</f>
        <v>0</v>
      </c>
      <c r="D17" s="696" t="e">
        <f>_xlfn.DAYS($B$23,B17)</f>
        <v>#VALUE!</v>
      </c>
      <c r="E17" s="668" t="e">
        <f t="shared" si="24"/>
        <v>#VALUE!</v>
      </c>
      <c r="F17" s="668" t="e">
        <f t="shared" ref="F17:F18" si="29">((1+$B$7)^(E17/366))-1</f>
        <v>#VALUE!</v>
      </c>
      <c r="G17" s="668" t="e">
        <f t="shared" si="26"/>
        <v>#VALUE!</v>
      </c>
      <c r="H17" s="668" t="e">
        <f t="shared" si="28"/>
        <v>#VALUE!</v>
      </c>
      <c r="I17" s="695">
        <f ca="1">GBER!L28</f>
        <v>0</v>
      </c>
      <c r="J17" s="697" t="str">
        <f t="shared" ca="1" si="27"/>
        <v/>
      </c>
      <c r="K17" s="700"/>
      <c r="L17" s="679" t="str">
        <f t="shared" si="25"/>
        <v/>
      </c>
      <c r="M17" s="668" t="s">
        <v>1815</v>
      </c>
      <c r="N17" s="705">
        <f>(N5/24)*2</f>
        <v>0</v>
      </c>
      <c r="R17" s="668" t="s">
        <v>1816</v>
      </c>
      <c r="S17" s="686">
        <f ca="1">PMT(S8,(S9*S11),-S6)</f>
        <v>0</v>
      </c>
      <c r="U17" s="668">
        <v>10</v>
      </c>
      <c r="V17" s="684">
        <f t="shared" ca="1" si="22"/>
        <v>0</v>
      </c>
      <c r="W17" s="685">
        <f t="shared" ca="1" si="0"/>
        <v>0</v>
      </c>
      <c r="X17" s="686">
        <f t="shared" ca="1" si="1"/>
        <v>0</v>
      </c>
      <c r="Y17" s="686">
        <f t="shared" ca="1" si="2"/>
        <v>0</v>
      </c>
      <c r="AB17" s="668" t="s">
        <v>1816</v>
      </c>
      <c r="AC17" s="686">
        <f ca="1">PMT(AC8,(AC9*AC11),-AC6)</f>
        <v>0</v>
      </c>
      <c r="AE17" s="668">
        <v>10</v>
      </c>
      <c r="AF17" s="684" t="e">
        <f t="shared" ca="1" si="18"/>
        <v>#VALUE!</v>
      </c>
      <c r="AG17" s="685" t="e">
        <f t="shared" ca="1" si="3"/>
        <v>#VALUE!</v>
      </c>
      <c r="AH17" s="686" t="e">
        <f t="shared" ca="1" si="4"/>
        <v>#VALUE!</v>
      </c>
      <c r="AI17" s="686" t="e">
        <f t="shared" ca="1" si="5"/>
        <v>#VALUE!</v>
      </c>
      <c r="AL17" s="668" t="s">
        <v>1816</v>
      </c>
      <c r="AM17" s="686">
        <f ca="1">PMT(AM8,(AM9*AM11),-AM6)</f>
        <v>0</v>
      </c>
      <c r="AO17" s="668">
        <v>10</v>
      </c>
      <c r="AP17" s="690" t="e">
        <f t="shared" ca="1" si="19"/>
        <v>#VALUE!</v>
      </c>
      <c r="AQ17" s="685" t="e">
        <f t="shared" ca="1" si="6"/>
        <v>#VALUE!</v>
      </c>
      <c r="AR17" s="686" t="e">
        <f t="shared" ca="1" si="7"/>
        <v>#VALUE!</v>
      </c>
      <c r="AS17" s="686" t="e">
        <f t="shared" ca="1" si="8"/>
        <v>#VALUE!</v>
      </c>
      <c r="AV17" s="668" t="s">
        <v>1816</v>
      </c>
      <c r="AW17" s="686">
        <f ca="1">PMT(AW8,(AW9*AW11),-AW6)</f>
        <v>0</v>
      </c>
      <c r="AY17" s="668">
        <v>10</v>
      </c>
      <c r="AZ17" s="684" t="e">
        <f t="shared" ca="1" si="20"/>
        <v>#VALUE!</v>
      </c>
      <c r="BA17" s="685" t="e">
        <f t="shared" ca="1" si="9"/>
        <v>#VALUE!</v>
      </c>
      <c r="BB17" s="686" t="e">
        <f t="shared" ca="1" si="10"/>
        <v>#VALUE!</v>
      </c>
      <c r="BC17" s="686" t="e">
        <f t="shared" ca="1" si="11"/>
        <v>#VALUE!</v>
      </c>
      <c r="BF17" s="668" t="s">
        <v>1816</v>
      </c>
      <c r="BG17" s="686">
        <f ca="1">PMT(BG8,(BG9*BG11),-BG6)</f>
        <v>0</v>
      </c>
      <c r="BI17" s="668">
        <v>10</v>
      </c>
      <c r="BJ17" s="684" t="e">
        <f t="shared" ca="1" si="21"/>
        <v>#VALUE!</v>
      </c>
      <c r="BK17" s="685" t="e">
        <f t="shared" ca="1" si="12"/>
        <v>#VALUE!</v>
      </c>
      <c r="BL17" s="686" t="e">
        <f t="shared" ca="1" si="13"/>
        <v>#VALUE!</v>
      </c>
      <c r="BM17" s="686" t="e">
        <f t="shared" ca="1" si="14"/>
        <v>#VALUE!</v>
      </c>
      <c r="BP17" s="668" t="s">
        <v>1816</v>
      </c>
      <c r="BQ17" s="686">
        <f ca="1">PMT(BQ8,(BQ9*BQ11),-BQ6)</f>
        <v>0</v>
      </c>
      <c r="BS17" s="668">
        <v>10</v>
      </c>
      <c r="BT17" s="684">
        <f t="shared" ca="1" si="23"/>
        <v>0</v>
      </c>
      <c r="BU17" s="685">
        <f t="shared" ca="1" si="15"/>
        <v>0</v>
      </c>
      <c r="BV17" s="686">
        <f t="shared" ca="1" si="16"/>
        <v>0</v>
      </c>
      <c r="BW17" s="686">
        <f t="shared" ca="1" si="17"/>
        <v>0</v>
      </c>
    </row>
    <row r="18" spans="1:75" ht="14.5" x14ac:dyDescent="0.35">
      <c r="A18" s="668" t="s">
        <v>1817</v>
      </c>
      <c r="B18" s="694"/>
      <c r="C18" s="674"/>
      <c r="D18" s="696">
        <f>_xlfn.DAYS($B$23,B18)</f>
        <v>335</v>
      </c>
      <c r="E18" s="706">
        <f t="shared" si="24"/>
        <v>183</v>
      </c>
      <c r="F18" s="668">
        <f t="shared" si="29"/>
        <v>4.9875621120889502E-3</v>
      </c>
      <c r="G18" s="668">
        <f t="shared" si="26"/>
        <v>152</v>
      </c>
      <c r="H18" s="668">
        <f t="shared" si="28"/>
        <v>0</v>
      </c>
      <c r="I18" s="695"/>
      <c r="J18" s="697">
        <f t="shared" si="27"/>
        <v>0</v>
      </c>
      <c r="K18" s="700"/>
      <c r="L18" s="679">
        <f>IFERROR(K18*(1+$B$7)^(_xlfn.DAYS($B$24,B18)/366),"")</f>
        <v>0</v>
      </c>
      <c r="M18" s="668" t="s">
        <v>1790</v>
      </c>
      <c r="N18" s="707">
        <f ca="1">((1+B6)^(1/2))-1</f>
        <v>4.9875621120889502E-3</v>
      </c>
      <c r="R18" s="668" t="s">
        <v>1818</v>
      </c>
      <c r="S18" s="708">
        <f ca="1">S17-(((NPV(S8,S16)))/S13)</f>
        <v>0</v>
      </c>
      <c r="T18" s="686">
        <f ca="1">(S6-(NPV(S8,S16)))/S13</f>
        <v>0</v>
      </c>
      <c r="U18" s="668">
        <v>11</v>
      </c>
      <c r="V18" s="684">
        <f t="shared" ca="1" si="22"/>
        <v>0</v>
      </c>
      <c r="W18" s="685">
        <f t="shared" ca="1" si="0"/>
        <v>0</v>
      </c>
      <c r="X18" s="686">
        <f t="shared" ca="1" si="1"/>
        <v>0</v>
      </c>
      <c r="Y18" s="686">
        <f t="shared" ca="1" si="2"/>
        <v>0</v>
      </c>
      <c r="AB18" s="668" t="s">
        <v>1818</v>
      </c>
      <c r="AC18" s="686" t="e">
        <f ca="1">AC17-(((NPV(AC8,AC16)))/AC13)</f>
        <v>#VALUE!</v>
      </c>
      <c r="AD18" s="668" t="e">
        <f ca="1">(AC6-(NPV(AC8,AC16)))/AC13</f>
        <v>#VALUE!</v>
      </c>
      <c r="AE18" s="668">
        <v>11</v>
      </c>
      <c r="AF18" s="684" t="e">
        <f t="shared" ca="1" si="18"/>
        <v>#VALUE!</v>
      </c>
      <c r="AG18" s="685" t="e">
        <f t="shared" ca="1" si="3"/>
        <v>#VALUE!</v>
      </c>
      <c r="AH18" s="686" t="e">
        <f t="shared" ca="1" si="4"/>
        <v>#VALUE!</v>
      </c>
      <c r="AI18" s="686" t="e">
        <f t="shared" ca="1" si="5"/>
        <v>#VALUE!</v>
      </c>
      <c r="AL18" s="668" t="s">
        <v>1818</v>
      </c>
      <c r="AM18" s="686" t="e">
        <f ca="1">AM17-(((NPV(AM8,AM16)))/AM13)</f>
        <v>#VALUE!</v>
      </c>
      <c r="AN18" s="668" t="e">
        <f ca="1">(AM6-(NPV(AM8,AM16)))/AM13</f>
        <v>#VALUE!</v>
      </c>
      <c r="AO18" s="668">
        <v>11</v>
      </c>
      <c r="AP18" s="690" t="e">
        <f t="shared" ca="1" si="19"/>
        <v>#VALUE!</v>
      </c>
      <c r="AQ18" s="685" t="e">
        <f ca="1">$AM$18</f>
        <v>#VALUE!</v>
      </c>
      <c r="AR18" s="686" t="e">
        <f t="shared" ca="1" si="7"/>
        <v>#VALUE!</v>
      </c>
      <c r="AS18" s="686" t="e">
        <f t="shared" ca="1" si="8"/>
        <v>#VALUE!</v>
      </c>
      <c r="AV18" s="668" t="s">
        <v>1818</v>
      </c>
      <c r="AW18" s="686" t="e">
        <f ca="1">AW17-(((NPV(AW8,AW16)))/AW13)</f>
        <v>#VALUE!</v>
      </c>
      <c r="AX18" s="668" t="e">
        <f ca="1">(AW6-(NPV(AW8,AW16)))/AW13</f>
        <v>#VALUE!</v>
      </c>
      <c r="AY18" s="668">
        <v>11</v>
      </c>
      <c r="AZ18" s="684" t="e">
        <f t="shared" ca="1" si="20"/>
        <v>#VALUE!</v>
      </c>
      <c r="BA18" s="685" t="e">
        <f t="shared" ca="1" si="9"/>
        <v>#VALUE!</v>
      </c>
      <c r="BB18" s="686" t="e">
        <f t="shared" ca="1" si="10"/>
        <v>#VALUE!</v>
      </c>
      <c r="BC18" s="686" t="e">
        <f t="shared" ca="1" si="11"/>
        <v>#VALUE!</v>
      </c>
      <c r="BF18" s="668" t="s">
        <v>1818</v>
      </c>
      <c r="BG18" s="686" t="e">
        <f ca="1">BG17-(((NPV(BG8,BG16)))/BG13)</f>
        <v>#VALUE!</v>
      </c>
      <c r="BH18" s="668" t="e">
        <f ca="1">(BG6-(NPV(BG8,BG16)))/BG13</f>
        <v>#VALUE!</v>
      </c>
      <c r="BI18" s="668">
        <v>11</v>
      </c>
      <c r="BJ18" s="684" t="e">
        <f t="shared" ca="1" si="21"/>
        <v>#VALUE!</v>
      </c>
      <c r="BK18" s="685" t="e">
        <f t="shared" ca="1" si="12"/>
        <v>#VALUE!</v>
      </c>
      <c r="BL18" s="686" t="e">
        <f t="shared" ca="1" si="13"/>
        <v>#VALUE!</v>
      </c>
      <c r="BM18" s="686" t="e">
        <f t="shared" ca="1" si="14"/>
        <v>#VALUE!</v>
      </c>
      <c r="BP18" s="668" t="s">
        <v>1818</v>
      </c>
      <c r="BQ18" s="686">
        <f ca="1">BQ17-(((NPV(BQ8,BQ16)))/BQ13)</f>
        <v>0</v>
      </c>
      <c r="BR18" s="668">
        <f ca="1">(BQ6-(NPV(BQ8,BQ16)))/BQ13</f>
        <v>0</v>
      </c>
      <c r="BS18" s="668">
        <v>11</v>
      </c>
      <c r="BT18" s="684">
        <f t="shared" ca="1" si="23"/>
        <v>0</v>
      </c>
      <c r="BU18" s="685">
        <f t="shared" ca="1" si="15"/>
        <v>0</v>
      </c>
      <c r="BV18" s="686">
        <f t="shared" ca="1" si="16"/>
        <v>0</v>
      </c>
      <c r="BW18" s="686">
        <f t="shared" ca="1" si="17"/>
        <v>0</v>
      </c>
    </row>
    <row r="19" spans="1:75" ht="14.5" x14ac:dyDescent="0.35">
      <c r="C19" s="668" t="e">
        <f ca="1">C13/I13</f>
        <v>#DIV/0!</v>
      </c>
      <c r="M19" s="668" t="s">
        <v>1786</v>
      </c>
      <c r="N19" s="707">
        <f>((1+B7)^(1/2))-1</f>
        <v>4.9875621120889502E-3</v>
      </c>
      <c r="S19" s="686"/>
      <c r="U19" s="668">
        <v>12</v>
      </c>
      <c r="V19" s="684">
        <f t="shared" ca="1" si="22"/>
        <v>0</v>
      </c>
      <c r="W19" s="685">
        <f t="shared" ca="1" si="0"/>
        <v>0</v>
      </c>
      <c r="X19" s="686">
        <f t="shared" ca="1" si="1"/>
        <v>0</v>
      </c>
      <c r="Y19" s="686">
        <f t="shared" ca="1" si="2"/>
        <v>0</v>
      </c>
      <c r="AC19" s="686"/>
      <c r="AE19" s="668">
        <v>12</v>
      </c>
      <c r="AF19" s="684" t="e">
        <f t="shared" ca="1" si="18"/>
        <v>#VALUE!</v>
      </c>
      <c r="AG19" s="685" t="e">
        <f ca="1">$AC$18</f>
        <v>#VALUE!</v>
      </c>
      <c r="AH19" s="686" t="e">
        <f t="shared" ca="1" si="4"/>
        <v>#VALUE!</v>
      </c>
      <c r="AI19" s="686" t="e">
        <f t="shared" ca="1" si="5"/>
        <v>#VALUE!</v>
      </c>
      <c r="AM19" s="686"/>
      <c r="AO19" s="668">
        <v>12</v>
      </c>
      <c r="AP19" s="690" t="e">
        <f t="shared" ca="1" si="19"/>
        <v>#VALUE!</v>
      </c>
      <c r="AQ19" s="685" t="e">
        <f t="shared" ca="1" si="6"/>
        <v>#VALUE!</v>
      </c>
      <c r="AR19" s="686" t="e">
        <f t="shared" ca="1" si="7"/>
        <v>#VALUE!</v>
      </c>
      <c r="AS19" s="686" t="e">
        <f t="shared" ca="1" si="8"/>
        <v>#VALUE!</v>
      </c>
      <c r="AW19" s="686"/>
      <c r="AY19" s="668">
        <v>12</v>
      </c>
      <c r="AZ19" s="684" t="e">
        <f t="shared" ca="1" si="20"/>
        <v>#VALUE!</v>
      </c>
      <c r="BA19" s="685" t="e">
        <f t="shared" ca="1" si="9"/>
        <v>#VALUE!</v>
      </c>
      <c r="BB19" s="686" t="e">
        <f t="shared" ca="1" si="10"/>
        <v>#VALUE!</v>
      </c>
      <c r="BC19" s="686" t="e">
        <f t="shared" ca="1" si="11"/>
        <v>#VALUE!</v>
      </c>
      <c r="BG19" s="686"/>
      <c r="BI19" s="668">
        <v>12</v>
      </c>
      <c r="BJ19" s="684" t="e">
        <f t="shared" ca="1" si="21"/>
        <v>#VALUE!</v>
      </c>
      <c r="BK19" s="685" t="e">
        <f t="shared" ca="1" si="12"/>
        <v>#VALUE!</v>
      </c>
      <c r="BL19" s="686" t="e">
        <f t="shared" ca="1" si="13"/>
        <v>#VALUE!</v>
      </c>
      <c r="BM19" s="686" t="e">
        <f t="shared" ca="1" si="14"/>
        <v>#VALUE!</v>
      </c>
      <c r="BQ19" s="686"/>
      <c r="BS19" s="668">
        <v>12</v>
      </c>
      <c r="BT19" s="684">
        <f t="shared" ca="1" si="23"/>
        <v>0</v>
      </c>
      <c r="BU19" s="685">
        <f t="shared" ca="1" si="15"/>
        <v>0</v>
      </c>
      <c r="BV19" s="686">
        <f t="shared" ca="1" si="16"/>
        <v>0</v>
      </c>
      <c r="BW19" s="686">
        <f t="shared" ca="1" si="17"/>
        <v>0</v>
      </c>
    </row>
    <row r="20" spans="1:75" ht="14.5" x14ac:dyDescent="0.35">
      <c r="A20" s="668" t="s">
        <v>1819</v>
      </c>
      <c r="B20" s="709">
        <v>1</v>
      </c>
      <c r="M20" s="668" t="s">
        <v>1791</v>
      </c>
      <c r="N20" s="668">
        <v>10</v>
      </c>
      <c r="R20" s="668" t="s">
        <v>1820</v>
      </c>
      <c r="S20" s="668">
        <f>G13/183</f>
        <v>0.8306010928961749</v>
      </c>
      <c r="T20" s="710"/>
      <c r="U20" s="668">
        <v>13</v>
      </c>
      <c r="V20" s="684">
        <f t="shared" ca="1" si="22"/>
        <v>0</v>
      </c>
      <c r="W20" s="685">
        <f t="shared" ca="1" si="0"/>
        <v>0</v>
      </c>
      <c r="X20" s="686">
        <f t="shared" ca="1" si="1"/>
        <v>0</v>
      </c>
      <c r="Y20" s="686">
        <f t="shared" ca="1" si="2"/>
        <v>0</v>
      </c>
      <c r="AB20" s="668" t="s">
        <v>1820</v>
      </c>
      <c r="AC20" s="668" t="e">
        <f>G14/183</f>
        <v>#VALUE!</v>
      </c>
      <c r="AD20" s="710"/>
      <c r="AE20" s="668">
        <v>13</v>
      </c>
      <c r="AF20" s="684" t="e">
        <f t="shared" ca="1" si="18"/>
        <v>#VALUE!</v>
      </c>
      <c r="AG20" s="685" t="e">
        <f t="shared" ca="1" si="3"/>
        <v>#VALUE!</v>
      </c>
      <c r="AH20" s="686" t="e">
        <f t="shared" ca="1" si="4"/>
        <v>#VALUE!</v>
      </c>
      <c r="AI20" s="686" t="e">
        <f t="shared" ca="1" si="5"/>
        <v>#VALUE!</v>
      </c>
      <c r="AL20" s="668" t="s">
        <v>1820</v>
      </c>
      <c r="AM20" s="668" t="e">
        <f>G15/183</f>
        <v>#VALUE!</v>
      </c>
      <c r="AN20" s="710"/>
      <c r="AO20" s="668">
        <v>13</v>
      </c>
      <c r="AP20" s="690" t="e">
        <f t="shared" ca="1" si="19"/>
        <v>#VALUE!</v>
      </c>
      <c r="AQ20" s="685" t="e">
        <f t="shared" ca="1" si="6"/>
        <v>#VALUE!</v>
      </c>
      <c r="AR20" s="686" t="e">
        <f t="shared" ca="1" si="7"/>
        <v>#VALUE!</v>
      </c>
      <c r="AS20" s="686" t="e">
        <f t="shared" ca="1" si="8"/>
        <v>#VALUE!</v>
      </c>
      <c r="AV20" s="668" t="s">
        <v>1820</v>
      </c>
      <c r="AW20" s="668" t="e">
        <f>G16/183</f>
        <v>#VALUE!</v>
      </c>
      <c r="AX20" s="710"/>
      <c r="AY20" s="668">
        <v>13</v>
      </c>
      <c r="AZ20" s="684" t="e">
        <f t="shared" ca="1" si="20"/>
        <v>#VALUE!</v>
      </c>
      <c r="BA20" s="685" t="e">
        <f ca="1">$AW$18</f>
        <v>#VALUE!</v>
      </c>
      <c r="BB20" s="686" t="e">
        <f t="shared" ca="1" si="10"/>
        <v>#VALUE!</v>
      </c>
      <c r="BC20" s="686" t="e">
        <f t="shared" ca="1" si="11"/>
        <v>#VALUE!</v>
      </c>
      <c r="BF20" s="668" t="s">
        <v>1820</v>
      </c>
      <c r="BG20" s="668" t="e">
        <f>G17/183</f>
        <v>#VALUE!</v>
      </c>
      <c r="BH20" s="710"/>
      <c r="BI20" s="668">
        <v>13</v>
      </c>
      <c r="BJ20" s="684" t="e">
        <f t="shared" ca="1" si="21"/>
        <v>#VALUE!</v>
      </c>
      <c r="BK20" s="685" t="e">
        <f ca="1">$BG$18</f>
        <v>#VALUE!</v>
      </c>
      <c r="BL20" s="686" t="e">
        <f t="shared" ca="1" si="13"/>
        <v>#VALUE!</v>
      </c>
      <c r="BM20" s="686" t="e">
        <f t="shared" ca="1" si="14"/>
        <v>#VALUE!</v>
      </c>
      <c r="BP20" s="668" t="s">
        <v>1820</v>
      </c>
      <c r="BQ20" s="668">
        <f>G18/183</f>
        <v>0.8306010928961749</v>
      </c>
      <c r="BR20" s="710"/>
      <c r="BS20" s="668">
        <v>13</v>
      </c>
      <c r="BT20" s="684">
        <f t="shared" ca="1" si="23"/>
        <v>0</v>
      </c>
      <c r="BU20" s="685">
        <f t="shared" ca="1" si="15"/>
        <v>0</v>
      </c>
      <c r="BV20" s="686">
        <f t="shared" ca="1" si="16"/>
        <v>0</v>
      </c>
      <c r="BW20" s="686">
        <f t="shared" ca="1" si="17"/>
        <v>0</v>
      </c>
    </row>
    <row r="21" spans="1:75" ht="14.5" x14ac:dyDescent="0.35">
      <c r="M21" s="691" t="s">
        <v>542</v>
      </c>
      <c r="N21" s="711">
        <f>$N$20+$N$17</f>
        <v>10</v>
      </c>
      <c r="U21" s="668">
        <v>14</v>
      </c>
      <c r="V21" s="684">
        <f t="shared" ca="1" si="22"/>
        <v>0</v>
      </c>
      <c r="W21" s="685">
        <f ca="1">$S$18</f>
        <v>0</v>
      </c>
      <c r="X21" s="686">
        <f t="shared" ca="1" si="1"/>
        <v>0</v>
      </c>
      <c r="Y21" s="686">
        <f t="shared" ca="1" si="2"/>
        <v>0</v>
      </c>
      <c r="AE21" s="668">
        <v>14</v>
      </c>
      <c r="AF21" s="684" t="e">
        <f t="shared" ca="1" si="18"/>
        <v>#VALUE!</v>
      </c>
      <c r="AG21" s="685" t="e">
        <f t="shared" ca="1" si="3"/>
        <v>#VALUE!</v>
      </c>
      <c r="AH21" s="686" t="e">
        <f t="shared" ca="1" si="4"/>
        <v>#VALUE!</v>
      </c>
      <c r="AI21" s="686" t="e">
        <f t="shared" ca="1" si="5"/>
        <v>#VALUE!</v>
      </c>
      <c r="AO21" s="668">
        <v>14</v>
      </c>
      <c r="AP21" s="690" t="e">
        <f t="shared" ca="1" si="19"/>
        <v>#VALUE!</v>
      </c>
      <c r="AQ21" s="685" t="e">
        <f t="shared" ca="1" si="6"/>
        <v>#VALUE!</v>
      </c>
      <c r="AR21" s="686" t="e">
        <f t="shared" ca="1" si="7"/>
        <v>#VALUE!</v>
      </c>
      <c r="AS21" s="686" t="e">
        <f t="shared" ca="1" si="8"/>
        <v>#VALUE!</v>
      </c>
      <c r="AY21" s="668">
        <v>14</v>
      </c>
      <c r="AZ21" s="684" t="e">
        <f t="shared" ca="1" si="20"/>
        <v>#VALUE!</v>
      </c>
      <c r="BA21" s="685" t="e">
        <f t="shared" ca="1" si="9"/>
        <v>#VALUE!</v>
      </c>
      <c r="BB21" s="686" t="e">
        <f t="shared" ca="1" si="10"/>
        <v>#VALUE!</v>
      </c>
      <c r="BC21" s="686" t="e">
        <f t="shared" ca="1" si="11"/>
        <v>#VALUE!</v>
      </c>
      <c r="BI21" s="668">
        <v>14</v>
      </c>
      <c r="BJ21" s="684" t="e">
        <f t="shared" ca="1" si="21"/>
        <v>#VALUE!</v>
      </c>
      <c r="BK21" s="685" t="e">
        <f t="shared" ca="1" si="12"/>
        <v>#VALUE!</v>
      </c>
      <c r="BL21" s="686" t="e">
        <f t="shared" ca="1" si="13"/>
        <v>#VALUE!</v>
      </c>
      <c r="BM21" s="686" t="e">
        <f t="shared" ca="1" si="14"/>
        <v>#VALUE!</v>
      </c>
      <c r="BS21" s="668">
        <v>14</v>
      </c>
      <c r="BT21" s="684">
        <f t="shared" ca="1" si="23"/>
        <v>0</v>
      </c>
      <c r="BU21" s="685">
        <f t="shared" ca="1" si="15"/>
        <v>0</v>
      </c>
      <c r="BV21" s="686">
        <f t="shared" ca="1" si="16"/>
        <v>0</v>
      </c>
      <c r="BW21" s="686">
        <f t="shared" ca="1" si="17"/>
        <v>0</v>
      </c>
    </row>
    <row r="22" spans="1:75" ht="14.5" x14ac:dyDescent="0.35">
      <c r="M22" s="691" t="s">
        <v>1794</v>
      </c>
      <c r="N22" s="712">
        <v>2</v>
      </c>
      <c r="R22" s="668" t="s">
        <v>1821</v>
      </c>
      <c r="S22" s="703">
        <f>((1+S7)^S20)-1</f>
        <v>4.1409278872530653E-3</v>
      </c>
      <c r="U22" s="668">
        <v>15</v>
      </c>
      <c r="V22" s="684">
        <f t="shared" ca="1" si="22"/>
        <v>0</v>
      </c>
      <c r="W22" s="685">
        <f t="shared" ca="1" si="0"/>
        <v>0</v>
      </c>
      <c r="X22" s="686">
        <f t="shared" ca="1" si="1"/>
        <v>0</v>
      </c>
      <c r="Y22" s="686">
        <f t="shared" ca="1" si="2"/>
        <v>0</v>
      </c>
      <c r="AB22" s="668" t="s">
        <v>1821</v>
      </c>
      <c r="AC22" s="703" t="e">
        <f>((1+AC7)^AC20)-1</f>
        <v>#VALUE!</v>
      </c>
      <c r="AE22" s="668">
        <v>15</v>
      </c>
      <c r="AF22" s="684" t="e">
        <f t="shared" ca="1" si="18"/>
        <v>#VALUE!</v>
      </c>
      <c r="AG22" s="685" t="e">
        <f t="shared" ca="1" si="3"/>
        <v>#VALUE!</v>
      </c>
      <c r="AH22" s="686" t="e">
        <f t="shared" ca="1" si="4"/>
        <v>#VALUE!</v>
      </c>
      <c r="AI22" s="686" t="e">
        <f t="shared" ca="1" si="5"/>
        <v>#VALUE!</v>
      </c>
      <c r="AL22" s="668" t="s">
        <v>1821</v>
      </c>
      <c r="AM22" s="703" t="e">
        <f>((1+AM7)^AM20)-1</f>
        <v>#VALUE!</v>
      </c>
      <c r="AO22" s="668">
        <v>15</v>
      </c>
      <c r="AP22" s="690" t="e">
        <f t="shared" ca="1" si="19"/>
        <v>#VALUE!</v>
      </c>
      <c r="AQ22" s="685" t="e">
        <f t="shared" ca="1" si="6"/>
        <v>#VALUE!</v>
      </c>
      <c r="AR22" s="686" t="e">
        <f t="shared" ca="1" si="7"/>
        <v>#VALUE!</v>
      </c>
      <c r="AS22" s="686" t="e">
        <f t="shared" ca="1" si="8"/>
        <v>#VALUE!</v>
      </c>
      <c r="AV22" s="668" t="s">
        <v>1821</v>
      </c>
      <c r="AW22" s="703" t="e">
        <f>((1+AW7)^AW20)-1</f>
        <v>#VALUE!</v>
      </c>
      <c r="AY22" s="668">
        <v>15</v>
      </c>
      <c r="AZ22" s="684" t="e">
        <f t="shared" ca="1" si="20"/>
        <v>#VALUE!</v>
      </c>
      <c r="BA22" s="685" t="e">
        <f t="shared" ca="1" si="9"/>
        <v>#VALUE!</v>
      </c>
      <c r="BB22" s="686" t="e">
        <f t="shared" ca="1" si="10"/>
        <v>#VALUE!</v>
      </c>
      <c r="BC22" s="686" t="e">
        <f t="shared" ca="1" si="11"/>
        <v>#VALUE!</v>
      </c>
      <c r="BF22" s="668" t="s">
        <v>1821</v>
      </c>
      <c r="BG22" s="703" t="e">
        <f>((1+BG7)^BG20)-1</f>
        <v>#VALUE!</v>
      </c>
      <c r="BI22" s="668">
        <v>15</v>
      </c>
      <c r="BJ22" s="684" t="e">
        <f t="shared" ca="1" si="21"/>
        <v>#VALUE!</v>
      </c>
      <c r="BK22" s="685" t="e">
        <f t="shared" ca="1" si="12"/>
        <v>#VALUE!</v>
      </c>
      <c r="BL22" s="686" t="e">
        <f t="shared" ca="1" si="13"/>
        <v>#VALUE!</v>
      </c>
      <c r="BM22" s="686" t="e">
        <f t="shared" ca="1" si="14"/>
        <v>#VALUE!</v>
      </c>
      <c r="BP22" s="668" t="s">
        <v>1821</v>
      </c>
      <c r="BQ22" s="703">
        <f>((1+BQ7)^BQ20)-1</f>
        <v>4.1409278872530653E-3</v>
      </c>
      <c r="BS22" s="668">
        <v>15</v>
      </c>
      <c r="BT22" s="684">
        <f t="shared" ca="1" si="23"/>
        <v>0</v>
      </c>
      <c r="BU22" s="685">
        <f t="shared" ca="1" si="15"/>
        <v>0</v>
      </c>
      <c r="BV22" s="686">
        <f t="shared" ca="1" si="16"/>
        <v>0</v>
      </c>
      <c r="BW22" s="686">
        <f t="shared" ca="1" si="17"/>
        <v>0</v>
      </c>
    </row>
    <row r="23" spans="1:75" ht="14.5" x14ac:dyDescent="0.35">
      <c r="A23" s="1435" t="s">
        <v>1822</v>
      </c>
      <c r="B23" s="713">
        <f>I39</f>
        <v>335</v>
      </c>
      <c r="C23" s="714">
        <v>43616</v>
      </c>
      <c r="D23" s="668">
        <f>+_xlfn.DAYS(C24,C23)</f>
        <v>183</v>
      </c>
      <c r="E23" s="714"/>
      <c r="F23" s="714"/>
      <c r="M23" s="691"/>
      <c r="N23" s="712"/>
      <c r="U23" s="668">
        <v>16</v>
      </c>
      <c r="V23" s="684">
        <f t="shared" ca="1" si="22"/>
        <v>0</v>
      </c>
      <c r="W23" s="685">
        <f t="shared" ca="1" si="0"/>
        <v>0</v>
      </c>
      <c r="X23" s="686">
        <f ca="1">X22-Y23</f>
        <v>0</v>
      </c>
      <c r="Y23" s="686">
        <f t="shared" ca="1" si="2"/>
        <v>0</v>
      </c>
      <c r="AE23" s="668">
        <v>16</v>
      </c>
      <c r="AF23" s="684" t="e">
        <f t="shared" ca="1" si="18"/>
        <v>#VALUE!</v>
      </c>
      <c r="AG23" s="685" t="e">
        <f t="shared" ca="1" si="3"/>
        <v>#VALUE!</v>
      </c>
      <c r="AH23" s="715" t="e">
        <f ca="1">AH22-AI23</f>
        <v>#VALUE!</v>
      </c>
      <c r="AI23" s="686" t="e">
        <f t="shared" ca="1" si="5"/>
        <v>#VALUE!</v>
      </c>
      <c r="AO23" s="668">
        <v>16</v>
      </c>
      <c r="AP23" s="690" t="e">
        <f t="shared" ca="1" si="19"/>
        <v>#VALUE!</v>
      </c>
      <c r="AQ23" s="685" t="e">
        <f t="shared" ca="1" si="6"/>
        <v>#VALUE!</v>
      </c>
      <c r="AR23" s="715" t="e">
        <f ca="1">AR22-AS23</f>
        <v>#VALUE!</v>
      </c>
      <c r="AS23" s="686" t="e">
        <f t="shared" ca="1" si="8"/>
        <v>#VALUE!</v>
      </c>
      <c r="AY23" s="668">
        <v>16</v>
      </c>
      <c r="AZ23" s="684" t="e">
        <f t="shared" ca="1" si="20"/>
        <v>#VALUE!</v>
      </c>
      <c r="BA23" s="685" t="e">
        <f t="shared" ca="1" si="9"/>
        <v>#VALUE!</v>
      </c>
      <c r="BB23" s="715" t="e">
        <f ca="1">BB22-BC23</f>
        <v>#VALUE!</v>
      </c>
      <c r="BC23" s="686" t="e">
        <f t="shared" ca="1" si="11"/>
        <v>#VALUE!</v>
      </c>
      <c r="BI23" s="668">
        <v>16</v>
      </c>
      <c r="BJ23" s="684" t="e">
        <f t="shared" ca="1" si="21"/>
        <v>#VALUE!</v>
      </c>
      <c r="BK23" s="685" t="e">
        <f t="shared" ca="1" si="12"/>
        <v>#VALUE!</v>
      </c>
      <c r="BL23" s="715" t="e">
        <f ca="1">BL22-BM23</f>
        <v>#VALUE!</v>
      </c>
      <c r="BM23" s="686" t="e">
        <f t="shared" ca="1" si="14"/>
        <v>#VALUE!</v>
      </c>
      <c r="BS23" s="668">
        <v>16</v>
      </c>
      <c r="BT23" s="684">
        <f t="shared" ca="1" si="23"/>
        <v>0</v>
      </c>
      <c r="BU23" s="685">
        <f t="shared" ca="1" si="15"/>
        <v>0</v>
      </c>
      <c r="BV23" s="715">
        <f ca="1">BV22-BW23</f>
        <v>0</v>
      </c>
      <c r="BW23" s="686">
        <f t="shared" ca="1" si="17"/>
        <v>0</v>
      </c>
    </row>
    <row r="24" spans="1:75" ht="14.5" x14ac:dyDescent="0.35">
      <c r="A24" s="668" t="s">
        <v>1823</v>
      </c>
      <c r="B24" s="716">
        <f>B40</f>
        <v>0</v>
      </c>
      <c r="C24" s="714">
        <v>43799</v>
      </c>
      <c r="D24" s="668">
        <f>+_xlfn.DAYS(C23,C24)</f>
        <v>-183</v>
      </c>
      <c r="E24" s="714"/>
      <c r="F24" s="714"/>
      <c r="M24" s="717" t="s">
        <v>543</v>
      </c>
      <c r="N24" s="718">
        <f>$G$40</f>
        <v>1900</v>
      </c>
      <c r="R24" s="668" t="s">
        <v>1824</v>
      </c>
      <c r="S24" s="722">
        <f ca="1">S8*S6</f>
        <v>0</v>
      </c>
      <c r="U24" s="700">
        <v>17</v>
      </c>
      <c r="V24" s="719">
        <f ca="1">X23*(($S$8))</f>
        <v>0</v>
      </c>
      <c r="W24" s="720">
        <f t="shared" ca="1" si="0"/>
        <v>0</v>
      </c>
      <c r="X24" s="721">
        <f ca="1">X23-Y24</f>
        <v>0</v>
      </c>
      <c r="Y24" s="721">
        <f t="shared" ca="1" si="2"/>
        <v>0</v>
      </c>
      <c r="AB24" s="668" t="s">
        <v>1824</v>
      </c>
      <c r="AC24" s="722">
        <f ca="1">AC8*AC6</f>
        <v>0</v>
      </c>
      <c r="AE24" s="700">
        <v>17</v>
      </c>
      <c r="AF24" s="719" t="e">
        <f ca="1">AH23*(($AC$8))</f>
        <v>#VALUE!</v>
      </c>
      <c r="AG24" s="720" t="e">
        <f t="shared" ca="1" si="3"/>
        <v>#VALUE!</v>
      </c>
      <c r="AH24" s="721" t="e">
        <f t="shared" ca="1" si="4"/>
        <v>#VALUE!</v>
      </c>
      <c r="AI24" s="721" t="e">
        <f t="shared" ca="1" si="5"/>
        <v>#VALUE!</v>
      </c>
      <c r="AL24" s="668" t="s">
        <v>1824</v>
      </c>
      <c r="AM24" s="668">
        <f ca="1">AM8*AM6</f>
        <v>0</v>
      </c>
      <c r="AO24" s="700">
        <v>17</v>
      </c>
      <c r="AP24" s="690" t="e">
        <f t="shared" ca="1" si="19"/>
        <v>#VALUE!</v>
      </c>
      <c r="AQ24" s="685" t="e">
        <f t="shared" ca="1" si="6"/>
        <v>#VALUE!</v>
      </c>
      <c r="AR24" s="721" t="e">
        <f ca="1">AR23-AS24</f>
        <v>#VALUE!</v>
      </c>
      <c r="AS24" s="721" t="e">
        <f t="shared" ca="1" si="8"/>
        <v>#VALUE!</v>
      </c>
      <c r="AV24" s="668" t="s">
        <v>1824</v>
      </c>
      <c r="AW24" s="668">
        <f ca="1">AW8*AW6</f>
        <v>0</v>
      </c>
      <c r="AY24" s="700">
        <v>17</v>
      </c>
      <c r="AZ24" s="684" t="e">
        <f t="shared" ca="1" si="20"/>
        <v>#VALUE!</v>
      </c>
      <c r="BA24" s="685" t="e">
        <f t="shared" ca="1" si="9"/>
        <v>#VALUE!</v>
      </c>
      <c r="BB24" s="721" t="e">
        <f ca="1">BB23-BC24</f>
        <v>#VALUE!</v>
      </c>
      <c r="BC24" s="721" t="e">
        <f t="shared" ca="1" si="11"/>
        <v>#VALUE!</v>
      </c>
      <c r="BF24" s="668" t="s">
        <v>1824</v>
      </c>
      <c r="BG24" s="668">
        <f ca="1">BG8*BG6</f>
        <v>0</v>
      </c>
      <c r="BI24" s="700">
        <v>17</v>
      </c>
      <c r="BJ24" s="684" t="e">
        <f t="shared" ca="1" si="21"/>
        <v>#VALUE!</v>
      </c>
      <c r="BK24" s="685" t="e">
        <f t="shared" ca="1" si="12"/>
        <v>#VALUE!</v>
      </c>
      <c r="BL24" s="721" t="e">
        <f ca="1">BL23-BM24</f>
        <v>#VALUE!</v>
      </c>
      <c r="BM24" s="721" t="e">
        <f t="shared" ca="1" si="14"/>
        <v>#VALUE!</v>
      </c>
      <c r="BP24" s="668" t="s">
        <v>1824</v>
      </c>
      <c r="BQ24" s="668">
        <f ca="1">BQ8*BQ6</f>
        <v>0</v>
      </c>
      <c r="BS24" s="700">
        <v>17</v>
      </c>
      <c r="BT24" s="684">
        <f t="shared" ca="1" si="23"/>
        <v>0</v>
      </c>
      <c r="BU24" s="685">
        <f t="shared" ca="1" si="15"/>
        <v>0</v>
      </c>
      <c r="BV24" s="721">
        <f ca="1">BV23-BW24</f>
        <v>0</v>
      </c>
      <c r="BW24" s="721">
        <f t="shared" ca="1" si="17"/>
        <v>0</v>
      </c>
    </row>
    <row r="25" spans="1:75" ht="14.5" x14ac:dyDescent="0.35">
      <c r="M25" s="691" t="s">
        <v>505</v>
      </c>
      <c r="N25" s="711">
        <f>IF($N$17*$N$22-0*$N$17&gt;0,$N$17*$N$22-0*$N$17,0)</f>
        <v>0</v>
      </c>
      <c r="R25" s="668" t="s">
        <v>1825</v>
      </c>
      <c r="S25" s="668">
        <f>S20</f>
        <v>0.8306010928961749</v>
      </c>
      <c r="U25" s="700">
        <v>18</v>
      </c>
      <c r="V25" s="719">
        <f ca="1">X24*(($S$8))</f>
        <v>0</v>
      </c>
      <c r="W25" s="720">
        <f t="shared" ca="1" si="0"/>
        <v>0</v>
      </c>
      <c r="X25" s="721">
        <f t="shared" ca="1" si="1"/>
        <v>0</v>
      </c>
      <c r="Y25" s="721">
        <f t="shared" ca="1" si="2"/>
        <v>0</v>
      </c>
      <c r="AB25" s="668" t="s">
        <v>1825</v>
      </c>
      <c r="AC25" s="668" t="e">
        <f>AC20</f>
        <v>#VALUE!</v>
      </c>
      <c r="AE25" s="700">
        <v>18</v>
      </c>
      <c r="AF25" s="719" t="e">
        <f t="shared" ca="1" si="18"/>
        <v>#VALUE!</v>
      </c>
      <c r="AG25" s="720" t="e">
        <f t="shared" ca="1" si="3"/>
        <v>#VALUE!</v>
      </c>
      <c r="AH25" s="721" t="e">
        <f t="shared" ca="1" si="4"/>
        <v>#VALUE!</v>
      </c>
      <c r="AI25" s="721" t="e">
        <f t="shared" ca="1" si="5"/>
        <v>#VALUE!</v>
      </c>
      <c r="AL25" s="668" t="s">
        <v>1825</v>
      </c>
      <c r="AM25" s="668" t="e">
        <f>AM20</f>
        <v>#VALUE!</v>
      </c>
      <c r="AO25" s="700">
        <v>18</v>
      </c>
      <c r="AP25" s="690" t="e">
        <f t="shared" ca="1" si="19"/>
        <v>#VALUE!</v>
      </c>
      <c r="AQ25" s="685" t="e">
        <f t="shared" ca="1" si="6"/>
        <v>#VALUE!</v>
      </c>
      <c r="AR25" s="721" t="e">
        <f ca="1">AR24-AS25</f>
        <v>#VALUE!</v>
      </c>
      <c r="AS25" s="721" t="e">
        <f t="shared" ca="1" si="8"/>
        <v>#VALUE!</v>
      </c>
      <c r="AV25" s="668" t="s">
        <v>1825</v>
      </c>
      <c r="AW25" s="668" t="e">
        <f>AW20</f>
        <v>#VALUE!</v>
      </c>
      <c r="AY25" s="700">
        <v>18</v>
      </c>
      <c r="AZ25" s="684" t="e">
        <f t="shared" ca="1" si="20"/>
        <v>#VALUE!</v>
      </c>
      <c r="BA25" s="685" t="e">
        <f t="shared" ca="1" si="9"/>
        <v>#VALUE!</v>
      </c>
      <c r="BB25" s="721" t="e">
        <f ca="1">BB24-BC25</f>
        <v>#VALUE!</v>
      </c>
      <c r="BC25" s="721" t="e">
        <f t="shared" ca="1" si="11"/>
        <v>#VALUE!</v>
      </c>
      <c r="BF25" s="668" t="s">
        <v>1825</v>
      </c>
      <c r="BG25" s="668" t="e">
        <f>BG20</f>
        <v>#VALUE!</v>
      </c>
      <c r="BI25" s="700">
        <v>18</v>
      </c>
      <c r="BJ25" s="684" t="e">
        <f t="shared" ca="1" si="21"/>
        <v>#VALUE!</v>
      </c>
      <c r="BK25" s="685" t="e">
        <f t="shared" ca="1" si="12"/>
        <v>#VALUE!</v>
      </c>
      <c r="BL25" s="721" t="e">
        <f ca="1">BL24-BM25</f>
        <v>#VALUE!</v>
      </c>
      <c r="BM25" s="721" t="e">
        <f t="shared" ca="1" si="14"/>
        <v>#VALUE!</v>
      </c>
      <c r="BP25" s="668" t="s">
        <v>1825</v>
      </c>
      <c r="BQ25" s="668">
        <f>BQ20</f>
        <v>0.8306010928961749</v>
      </c>
      <c r="BS25" s="700">
        <v>18</v>
      </c>
      <c r="BT25" s="684">
        <f t="shared" ca="1" si="23"/>
        <v>0</v>
      </c>
      <c r="BU25" s="685">
        <f t="shared" ca="1" si="15"/>
        <v>0</v>
      </c>
      <c r="BV25" s="721">
        <f ca="1">BV24-BW25</f>
        <v>0</v>
      </c>
      <c r="BW25" s="721">
        <f t="shared" ca="1" si="17"/>
        <v>0</v>
      </c>
    </row>
    <row r="26" spans="1:75" ht="14.5" x14ac:dyDescent="0.35">
      <c r="B26" s="668" t="s">
        <v>1826</v>
      </c>
      <c r="D26" s="668">
        <f>D23-D24</f>
        <v>366</v>
      </c>
      <c r="M26" s="691" t="s">
        <v>506</v>
      </c>
      <c r="N26" s="723">
        <f>($N$9-$N$9)*$N$22</f>
        <v>0</v>
      </c>
      <c r="U26" s="700">
        <v>19</v>
      </c>
      <c r="V26" s="719">
        <f t="shared" ca="1" si="22"/>
        <v>0</v>
      </c>
      <c r="W26" s="720">
        <f t="shared" ca="1" si="0"/>
        <v>0</v>
      </c>
      <c r="X26" s="721">
        <f t="shared" ca="1" si="1"/>
        <v>0</v>
      </c>
      <c r="Y26" s="721">
        <f t="shared" ca="1" si="2"/>
        <v>0</v>
      </c>
      <c r="AE26" s="700">
        <v>19</v>
      </c>
      <c r="AF26" s="719" t="e">
        <f t="shared" ca="1" si="18"/>
        <v>#VALUE!</v>
      </c>
      <c r="AG26" s="720" t="e">
        <f t="shared" ca="1" si="3"/>
        <v>#VALUE!</v>
      </c>
      <c r="AH26" s="721" t="e">
        <f t="shared" ca="1" si="4"/>
        <v>#VALUE!</v>
      </c>
      <c r="AI26" s="721" t="e">
        <f t="shared" ca="1" si="5"/>
        <v>#VALUE!</v>
      </c>
      <c r="AO26" s="700">
        <v>19</v>
      </c>
      <c r="AP26" s="690" t="e">
        <f t="shared" ca="1" si="19"/>
        <v>#VALUE!</v>
      </c>
      <c r="AQ26" s="685" t="e">
        <f t="shared" ca="1" si="6"/>
        <v>#VALUE!</v>
      </c>
      <c r="AR26" s="721" t="e">
        <f ca="1">AR25-AS26</f>
        <v>#VALUE!</v>
      </c>
      <c r="AS26" s="721" t="e">
        <f t="shared" ca="1" si="8"/>
        <v>#VALUE!</v>
      </c>
      <c r="AY26" s="700">
        <v>19</v>
      </c>
      <c r="AZ26" s="684" t="e">
        <f ca="1">BB25*(($AW$8))</f>
        <v>#VALUE!</v>
      </c>
      <c r="BA26" s="685" t="e">
        <f t="shared" ca="1" si="9"/>
        <v>#VALUE!</v>
      </c>
      <c r="BB26" s="721" t="e">
        <f ca="1">BB25-BC26</f>
        <v>#VALUE!</v>
      </c>
      <c r="BC26" s="721" t="e">
        <f t="shared" ca="1" si="11"/>
        <v>#VALUE!</v>
      </c>
      <c r="BI26" s="700">
        <v>19</v>
      </c>
      <c r="BJ26" s="684" t="e">
        <f t="shared" ca="1" si="21"/>
        <v>#VALUE!</v>
      </c>
      <c r="BK26" s="685" t="e">
        <f t="shared" ca="1" si="12"/>
        <v>#VALUE!</v>
      </c>
      <c r="BL26" s="721" t="e">
        <f ca="1">BL25-BM26</f>
        <v>#VALUE!</v>
      </c>
      <c r="BM26" s="721" t="e">
        <f t="shared" ca="1" si="14"/>
        <v>#VALUE!</v>
      </c>
      <c r="BS26" s="700">
        <v>19</v>
      </c>
      <c r="BT26" s="684">
        <f t="shared" ca="1" si="23"/>
        <v>0</v>
      </c>
      <c r="BU26" s="685">
        <f t="shared" ca="1" si="15"/>
        <v>0</v>
      </c>
      <c r="BV26" s="721">
        <f ca="1">BV25-BW26</f>
        <v>0</v>
      </c>
      <c r="BW26" s="721">
        <f t="shared" ca="1" si="17"/>
        <v>0</v>
      </c>
    </row>
    <row r="27" spans="1:75" ht="14.5" x14ac:dyDescent="0.35">
      <c r="M27" s="691" t="s">
        <v>507</v>
      </c>
      <c r="N27" s="724">
        <f>N21*N22-N25-N26</f>
        <v>20</v>
      </c>
      <c r="R27" s="668" t="s">
        <v>1827</v>
      </c>
      <c r="U27" s="700">
        <v>20</v>
      </c>
      <c r="V27" s="719">
        <f t="shared" ca="1" si="22"/>
        <v>0</v>
      </c>
      <c r="W27" s="720">
        <f t="shared" ca="1" si="0"/>
        <v>0</v>
      </c>
      <c r="X27" s="721">
        <f t="shared" ca="1" si="1"/>
        <v>0</v>
      </c>
      <c r="Y27" s="721">
        <f t="shared" ca="1" si="2"/>
        <v>0</v>
      </c>
      <c r="AE27" s="700">
        <v>20</v>
      </c>
      <c r="AF27" s="719" t="e">
        <f t="shared" ca="1" si="18"/>
        <v>#VALUE!</v>
      </c>
      <c r="AG27" s="720" t="e">
        <f t="shared" ca="1" si="3"/>
        <v>#VALUE!</v>
      </c>
      <c r="AH27" s="721" t="e">
        <f t="shared" ca="1" si="4"/>
        <v>#VALUE!</v>
      </c>
      <c r="AI27" s="721" t="e">
        <f t="shared" ca="1" si="5"/>
        <v>#VALUE!</v>
      </c>
      <c r="AO27" s="700">
        <v>20</v>
      </c>
      <c r="AP27" s="690" t="e">
        <f ca="1">AR26*(($AM$8))</f>
        <v>#VALUE!</v>
      </c>
      <c r="AQ27" s="685" t="e">
        <f t="shared" ca="1" si="6"/>
        <v>#VALUE!</v>
      </c>
      <c r="AR27" s="721" t="e">
        <f ca="1">AR26-AS27</f>
        <v>#VALUE!</v>
      </c>
      <c r="AS27" s="721" t="e">
        <f t="shared" ca="1" si="8"/>
        <v>#VALUE!</v>
      </c>
      <c r="AY27" s="700">
        <v>20</v>
      </c>
      <c r="AZ27" s="684" t="e">
        <f ca="1">BB26*(($AW$8))</f>
        <v>#VALUE!</v>
      </c>
      <c r="BA27" s="685" t="e">
        <f t="shared" ca="1" si="9"/>
        <v>#VALUE!</v>
      </c>
      <c r="BB27" s="721" t="e">
        <f ca="1">BB26-BC27</f>
        <v>#VALUE!</v>
      </c>
      <c r="BC27" s="721" t="e">
        <f t="shared" ca="1" si="11"/>
        <v>#VALUE!</v>
      </c>
      <c r="BI27" s="700">
        <v>20</v>
      </c>
      <c r="BJ27" s="684" t="e">
        <f t="shared" ca="1" si="21"/>
        <v>#VALUE!</v>
      </c>
      <c r="BK27" s="685" t="e">
        <f t="shared" ca="1" si="12"/>
        <v>#VALUE!</v>
      </c>
      <c r="BL27" s="721" t="e">
        <f ca="1">BL26-BM27</f>
        <v>#VALUE!</v>
      </c>
      <c r="BM27" s="721" t="e">
        <f t="shared" ca="1" si="14"/>
        <v>#VALUE!</v>
      </c>
      <c r="BS27" s="700">
        <v>20</v>
      </c>
      <c r="BT27" s="684">
        <f t="shared" ca="1" si="23"/>
        <v>0</v>
      </c>
      <c r="BU27" s="685">
        <f t="shared" ca="1" si="15"/>
        <v>0</v>
      </c>
      <c r="BV27" s="721">
        <f ca="1">BV26-BW27</f>
        <v>0</v>
      </c>
      <c r="BW27" s="721">
        <f t="shared" ca="1" si="17"/>
        <v>0</v>
      </c>
    </row>
    <row r="28" spans="1:75" ht="13" x14ac:dyDescent="0.25">
      <c r="M28" s="691" t="s">
        <v>1828</v>
      </c>
      <c r="N28" s="725">
        <f>(1+N19)^-N25</f>
        <v>1</v>
      </c>
    </row>
    <row r="29" spans="1:75" ht="13" x14ac:dyDescent="0.25">
      <c r="B29" s="668" t="s">
        <v>1795</v>
      </c>
      <c r="M29" s="691" t="s">
        <v>1829</v>
      </c>
      <c r="N29" s="726">
        <f>(1+N19)^-N26</f>
        <v>1</v>
      </c>
    </row>
    <row r="30" spans="1:75" ht="13" x14ac:dyDescent="0.25">
      <c r="A30" s="668" t="s">
        <v>1806</v>
      </c>
      <c r="B30" s="736">
        <f>IF(B13="","A",B13)</f>
        <v>0</v>
      </c>
      <c r="M30" s="727" t="s">
        <v>1830</v>
      </c>
      <c r="N30" s="728">
        <f ca="1">N18*$N$11</f>
        <v>498.75621120889502</v>
      </c>
      <c r="T30" s="668" t="s">
        <v>1831</v>
      </c>
      <c r="V30" s="686">
        <f ca="1">IF(S9=10,W30,X30)</f>
        <v>0</v>
      </c>
      <c r="W30" s="1573">
        <f ca="1">NPV(S7,V9:V27)</f>
        <v>0</v>
      </c>
      <c r="X30" s="1573">
        <f ca="1">NPV(S7,V9:V23)</f>
        <v>0</v>
      </c>
      <c r="AD30" s="668" t="s">
        <v>1831</v>
      </c>
      <c r="AF30" s="686" t="e">
        <f ca="1">IF(AC9=10,AG30,AH30)</f>
        <v>#VALUE!</v>
      </c>
      <c r="AG30" s="686" t="e">
        <f ca="1">NPV(AC7,AF9:AF27)</f>
        <v>#VALUE!</v>
      </c>
      <c r="AH30" s="686" t="e">
        <f ca="1">NPV(AC7,AF9:AF23)</f>
        <v>#VALUE!</v>
      </c>
      <c r="AN30" s="668" t="s">
        <v>1831</v>
      </c>
      <c r="AP30" s="686" t="e">
        <f ca="1">IF(AM9=10,AQ30,AR30)</f>
        <v>#VALUE!</v>
      </c>
      <c r="AQ30" s="1573" t="e">
        <f ca="1">NPV(AM7,AP9:AP27)</f>
        <v>#VALUE!</v>
      </c>
      <c r="AR30" s="1573" t="e">
        <f ca="1">NPV(AM7,AP9:AP23)</f>
        <v>#VALUE!</v>
      </c>
      <c r="AX30" s="668" t="s">
        <v>1831</v>
      </c>
      <c r="AZ30" s="686" t="e">
        <f ca="1">IF(AW9=10,BA30,BB30)</f>
        <v>#VALUE!</v>
      </c>
      <c r="BA30" s="1573" t="e">
        <f ca="1">NPV(AW7,AZ9:AZ27)</f>
        <v>#VALUE!</v>
      </c>
      <c r="BB30" s="1573" t="e">
        <f ca="1">NPV(AW7,AZ9:AZ23)</f>
        <v>#VALUE!</v>
      </c>
      <c r="BH30" s="668" t="s">
        <v>1831</v>
      </c>
      <c r="BJ30" s="686" t="e">
        <f ca="1">IF(BG9=10,BK30,BL30)</f>
        <v>#VALUE!</v>
      </c>
      <c r="BK30" s="1573" t="e">
        <f ca="1">NPV(BG7,BJ9:BJ27)</f>
        <v>#VALUE!</v>
      </c>
      <c r="BL30" s="1573" t="e">
        <f ca="1">NPV(BG7,BJ9:BJ23)</f>
        <v>#VALUE!</v>
      </c>
      <c r="BR30" s="668" t="s">
        <v>1831</v>
      </c>
      <c r="BT30" s="686">
        <f ca="1">IF(BQ9=10,BU30,BV30)</f>
        <v>0</v>
      </c>
      <c r="BU30" s="1573">
        <f ca="1">NPV(BQ7,BT9:BT27)</f>
        <v>0</v>
      </c>
      <c r="BV30" s="1573">
        <f ca="1">NPV(BQ7,BT9:BT23)</f>
        <v>0</v>
      </c>
    </row>
    <row r="31" spans="1:75" ht="13" x14ac:dyDescent="0.25">
      <c r="A31" s="668" t="s">
        <v>1808</v>
      </c>
      <c r="B31" s="736" t="str">
        <f t="shared" ref="B31:B34" si="30">IF(B14="","A",B14)</f>
        <v>A</v>
      </c>
      <c r="M31" s="727" t="s">
        <v>546</v>
      </c>
      <c r="N31" s="728">
        <f ca="1">PMT(N18,N27,-N11)</f>
        <v>5265.9716472230511</v>
      </c>
    </row>
    <row r="32" spans="1:75" ht="13" x14ac:dyDescent="0.25">
      <c r="A32" s="668" t="s">
        <v>1810</v>
      </c>
      <c r="B32" s="736" t="str">
        <f t="shared" si="30"/>
        <v>A</v>
      </c>
      <c r="M32" s="691" t="s">
        <v>1832</v>
      </c>
      <c r="N32" s="725">
        <f>PV(N19,N27,-1)</f>
        <v>18.989847781032623</v>
      </c>
      <c r="T32" s="668" t="s">
        <v>1833</v>
      </c>
      <c r="V32" s="686">
        <f ca="1">PV(F13,1,V30)</f>
        <v>0</v>
      </c>
      <c r="AD32" s="668" t="s">
        <v>1833</v>
      </c>
      <c r="AF32" s="686" t="e">
        <f ca="1">PV(F14,1,AF30)</f>
        <v>#VALUE!</v>
      </c>
      <c r="AN32" s="668" t="s">
        <v>1833</v>
      </c>
      <c r="AP32" s="686" t="e">
        <f ca="1">PV(F15,1,AP30)</f>
        <v>#VALUE!</v>
      </c>
      <c r="AX32" s="668" t="s">
        <v>1833</v>
      </c>
      <c r="AZ32" s="686" t="e">
        <f ca="1">PV(F16,1,AZ30)</f>
        <v>#VALUE!</v>
      </c>
      <c r="BH32" s="668" t="s">
        <v>1833</v>
      </c>
      <c r="BJ32" s="686" t="e">
        <f ca="1">PV(F17,1,BJ30)</f>
        <v>#VALUE!</v>
      </c>
      <c r="BR32" s="668" t="s">
        <v>1833</v>
      </c>
      <c r="BT32" s="686">
        <f ca="1">PV(F18,1,BT30)</f>
        <v>0</v>
      </c>
    </row>
    <row r="33" spans="1:73" ht="13.5" thickBot="1" x14ac:dyDescent="0.3">
      <c r="A33" s="668" t="s">
        <v>1812</v>
      </c>
      <c r="B33" s="736" t="str">
        <f t="shared" si="30"/>
        <v>A</v>
      </c>
      <c r="M33" s="691" t="s">
        <v>1834</v>
      </c>
      <c r="N33" s="729">
        <f>PV(N19,N25,-1)</f>
        <v>0</v>
      </c>
    </row>
    <row r="34" spans="1:73" ht="16.5" thickTop="1" thickBot="1" x14ac:dyDescent="0.3">
      <c r="A34" s="668" t="s">
        <v>1814</v>
      </c>
      <c r="B34" s="736" t="str">
        <f t="shared" si="30"/>
        <v>A</v>
      </c>
      <c r="M34" s="730" t="s">
        <v>550</v>
      </c>
      <c r="N34" s="731" t="e">
        <f ca="1">((N18/(N19-N18)*(N11-N31*N32))*N28+N30*N33)*N29</f>
        <v>#DIV/0!</v>
      </c>
      <c r="O34" s="732" t="e">
        <f ca="1">((N18/(N19-N18)*(N11-N31*N32)))</f>
        <v>#DIV/0!</v>
      </c>
      <c r="P34" s="733"/>
      <c r="T34" s="668" t="s">
        <v>1835</v>
      </c>
      <c r="V34" s="686">
        <f ca="1">PV(F13,1,V8)</f>
        <v>0</v>
      </c>
      <c r="W34" s="734"/>
      <c r="AD34" s="668" t="s">
        <v>1835</v>
      </c>
      <c r="AF34" s="686" t="e">
        <f ca="1">PV(F14,1,AF8)</f>
        <v>#VALUE!</v>
      </c>
      <c r="AG34" s="734"/>
      <c r="AN34" s="668" t="s">
        <v>1835</v>
      </c>
      <c r="AP34" s="686" t="e">
        <f ca="1">PV(F15,1,AP8)</f>
        <v>#VALUE!</v>
      </c>
      <c r="AQ34" s="734"/>
      <c r="AX34" s="668" t="s">
        <v>1835</v>
      </c>
      <c r="AZ34" s="686" t="e">
        <f ca="1">PV(F16,1,AZ8)</f>
        <v>#VALUE!</v>
      </c>
      <c r="BA34" s="734"/>
      <c r="BH34" s="668" t="s">
        <v>1835</v>
      </c>
      <c r="BJ34" s="686" t="e">
        <f ca="1">PV(F17,1,BJ8)</f>
        <v>#VALUE!</v>
      </c>
      <c r="BK34" s="734"/>
      <c r="BR34" s="668" t="s">
        <v>1835</v>
      </c>
      <c r="BT34" s="686">
        <f ca="1">PV(F18,1,BT8)</f>
        <v>0</v>
      </c>
      <c r="BU34" s="734"/>
    </row>
    <row r="35" spans="1:73" ht="13.5" thickTop="1" x14ac:dyDescent="0.25">
      <c r="A35" s="668" t="s">
        <v>1817</v>
      </c>
      <c r="B35" s="668" t="str">
        <f>IF(B18="","A",B18)</f>
        <v>A</v>
      </c>
      <c r="M35" s="691"/>
      <c r="N35" s="691"/>
      <c r="O35" s="735" t="e">
        <f ca="1">O34*N28</f>
        <v>#DIV/0!</v>
      </c>
      <c r="Q35" s="668">
        <f ca="1">+N30*N33</f>
        <v>0</v>
      </c>
    </row>
    <row r="36" spans="1:73" ht="13" x14ac:dyDescent="0.25">
      <c r="B36" s="736"/>
      <c r="M36" s="717" t="s">
        <v>528</v>
      </c>
      <c r="N36" s="718" t="str">
        <f>$M$40</f>
        <v>vp = (1+iATT)-p</v>
      </c>
      <c r="O36" s="737" t="e">
        <f ca="1">O35+Q35</f>
        <v>#DIV/0!</v>
      </c>
      <c r="S36" s="732"/>
      <c r="T36" s="668" t="s">
        <v>1836</v>
      </c>
      <c r="V36" s="734">
        <f ca="1">V32+V34</f>
        <v>0</v>
      </c>
      <c r="AC36" s="732"/>
      <c r="AD36" s="668" t="s">
        <v>1836</v>
      </c>
      <c r="AF36" s="734" t="e">
        <f ca="1">AF32+AF34</f>
        <v>#VALUE!</v>
      </c>
      <c r="AM36" s="732"/>
      <c r="AN36" s="668" t="s">
        <v>1836</v>
      </c>
      <c r="AP36" s="734" t="e">
        <f ca="1">AP32+AP34</f>
        <v>#VALUE!</v>
      </c>
      <c r="AW36" s="732"/>
      <c r="AX36" s="668" t="s">
        <v>1836</v>
      </c>
      <c r="AZ36" s="734" t="e">
        <f ca="1">AZ32+AZ34</f>
        <v>#VALUE!</v>
      </c>
      <c r="BG36" s="732"/>
      <c r="BH36" s="668" t="s">
        <v>1836</v>
      </c>
      <c r="BJ36" s="734" t="e">
        <f ca="1">BJ32+BJ34</f>
        <v>#VALUE!</v>
      </c>
      <c r="BQ36" s="732"/>
      <c r="BR36" s="668" t="s">
        <v>1836</v>
      </c>
      <c r="BT36" s="734">
        <f ca="1">BT32+BT34</f>
        <v>0</v>
      </c>
    </row>
    <row r="37" spans="1:73" ht="13" x14ac:dyDescent="0.25">
      <c r="I37" s="674" t="s">
        <v>1837</v>
      </c>
      <c r="M37" s="691" t="s">
        <v>505</v>
      </c>
      <c r="N37" s="712">
        <f>IF(N17*N22-1*N22&gt;0,$N17*N22-1*N22,0)</f>
        <v>0</v>
      </c>
      <c r="V37" s="734"/>
      <c r="AF37" s="734"/>
      <c r="AP37" s="734"/>
      <c r="AZ37" s="734"/>
      <c r="BJ37" s="734"/>
      <c r="BT37" s="734"/>
    </row>
    <row r="38" spans="1:73" ht="15.5" x14ac:dyDescent="0.35">
      <c r="C38" s="738" t="s">
        <v>1838</v>
      </c>
      <c r="D38" s="668" t="s">
        <v>1839</v>
      </c>
      <c r="E38" s="668" t="s">
        <v>1840</v>
      </c>
      <c r="F38" s="668" t="s">
        <v>1841</v>
      </c>
      <c r="G38" s="668" t="s">
        <v>1842</v>
      </c>
      <c r="H38" s="46" t="s">
        <v>1843</v>
      </c>
      <c r="I38" s="46" t="s">
        <v>1844</v>
      </c>
      <c r="M38" s="691" t="s">
        <v>506</v>
      </c>
      <c r="N38" s="712">
        <f>(O9-N9)*N22</f>
        <v>2</v>
      </c>
      <c r="S38" s="735"/>
      <c r="T38" s="668" t="s">
        <v>1845</v>
      </c>
      <c r="V38" s="739">
        <f ca="1">NPV(S22,V36)</f>
        <v>0</v>
      </c>
      <c r="AC38" s="735"/>
      <c r="AD38" s="668" t="s">
        <v>1845</v>
      </c>
      <c r="AF38" s="739" t="e">
        <f>NPV(AC22,AF36)</f>
        <v>#VALUE!</v>
      </c>
      <c r="AM38" s="735"/>
      <c r="AN38" s="668" t="s">
        <v>1845</v>
      </c>
      <c r="AP38" s="739" t="e">
        <f>NPV(AM22,AP36)</f>
        <v>#VALUE!</v>
      </c>
      <c r="AW38" s="735"/>
      <c r="AX38" s="668" t="s">
        <v>1845</v>
      </c>
      <c r="AZ38" s="739" t="e">
        <f>NPV(AW22,AZ36)</f>
        <v>#VALUE!</v>
      </c>
      <c r="BG38" s="735"/>
      <c r="BH38" s="668" t="s">
        <v>1845</v>
      </c>
      <c r="BJ38" s="739" t="e">
        <f>NPV(BG22,BJ36)</f>
        <v>#VALUE!</v>
      </c>
      <c r="BQ38" s="735"/>
      <c r="BR38" s="668" t="s">
        <v>1845</v>
      </c>
      <c r="BT38" s="739">
        <f ca="1">NPV(BQ22,BT36)</f>
        <v>0</v>
      </c>
    </row>
    <row r="39" spans="1:73" ht="15.5" x14ac:dyDescent="0.35">
      <c r="A39" s="738" t="s">
        <v>1846</v>
      </c>
      <c r="B39" s="736">
        <f>MAX(B13:B18)</f>
        <v>0</v>
      </c>
      <c r="C39" s="713">
        <f>EDATE(B39,6)</f>
        <v>182</v>
      </c>
      <c r="D39" s="736">
        <f>DATE(G39,F39,E39)</f>
        <v>152</v>
      </c>
      <c r="E39" s="668">
        <f>DAY(C23)</f>
        <v>31</v>
      </c>
      <c r="F39" s="668">
        <f>MONTH(C23)</f>
        <v>5</v>
      </c>
      <c r="G39" s="668">
        <f>YEAR(B39)</f>
        <v>1900</v>
      </c>
      <c r="H39" s="708">
        <f>+D39-$B$39</f>
        <v>152</v>
      </c>
      <c r="I39" s="1434">
        <f>+IF(H39&lt;0,D41,D40)</f>
        <v>335</v>
      </c>
      <c r="M39" s="691" t="s">
        <v>507</v>
      </c>
      <c r="N39" s="740">
        <f>$N21*$N$22-N37-N38</f>
        <v>18</v>
      </c>
      <c r="V39" s="734"/>
      <c r="AF39" s="734"/>
      <c r="AP39" s="734"/>
      <c r="AZ39" s="734"/>
      <c r="BJ39" s="734"/>
      <c r="BT39" s="734"/>
    </row>
    <row r="40" spans="1:73" ht="15.5" x14ac:dyDescent="0.35">
      <c r="A40" s="738" t="s">
        <v>1847</v>
      </c>
      <c r="B40" s="716">
        <f>MIN(B30:B36)</f>
        <v>0</v>
      </c>
      <c r="D40" s="736">
        <f>DATE(G40,F40,E40)</f>
        <v>335</v>
      </c>
      <c r="E40" s="668">
        <f>DAY(C24)</f>
        <v>30</v>
      </c>
      <c r="F40" s="668">
        <f>MONTH(C24)</f>
        <v>11</v>
      </c>
      <c r="G40" s="668">
        <f>YEAR(B39)</f>
        <v>1900</v>
      </c>
      <c r="H40" s="708">
        <f>+D40-$B$39</f>
        <v>335</v>
      </c>
      <c r="M40" s="691" t="s">
        <v>1828</v>
      </c>
      <c r="N40" s="741">
        <f>(1+N19)^-N37</f>
        <v>1</v>
      </c>
      <c r="S40" s="742"/>
      <c r="T40" s="668" t="s">
        <v>1848</v>
      </c>
      <c r="V40" s="734">
        <f ca="1">PV(S7,S25,S24)</f>
        <v>0</v>
      </c>
      <c r="AC40" s="742"/>
      <c r="AD40" s="668" t="s">
        <v>1848</v>
      </c>
      <c r="AF40" s="734" t="e">
        <f ca="1">PV(AC7,AC25,AC24)</f>
        <v>#VALUE!</v>
      </c>
      <c r="AM40" s="742"/>
      <c r="AN40" s="668" t="s">
        <v>1848</v>
      </c>
      <c r="AP40" s="734" t="e">
        <f ca="1">PV(AM7,AM25,AM24)</f>
        <v>#VALUE!</v>
      </c>
      <c r="AW40" s="742"/>
      <c r="AX40" s="668" t="s">
        <v>1848</v>
      </c>
      <c r="AZ40" s="734" t="e">
        <f ca="1">PV(AW7,AW25,AW24)</f>
        <v>#VALUE!</v>
      </c>
      <c r="BG40" s="742"/>
      <c r="BH40" s="668" t="s">
        <v>1848</v>
      </c>
      <c r="BJ40" s="734" t="e">
        <f ca="1">PV(BG7,BG25,BG24)</f>
        <v>#VALUE!</v>
      </c>
      <c r="BQ40" s="742"/>
      <c r="BR40" s="668" t="s">
        <v>1848</v>
      </c>
      <c r="BT40" s="734">
        <f ca="1">PV(BQ7,BQ25,BQ24)</f>
        <v>0</v>
      </c>
    </row>
    <row r="41" spans="1:73" ht="13" x14ac:dyDescent="0.25">
      <c r="D41" s="736">
        <f>DATE(G41,F41,E41)</f>
        <v>517</v>
      </c>
      <c r="E41" s="668">
        <f>E39</f>
        <v>31</v>
      </c>
      <c r="F41" s="668">
        <f>F39</f>
        <v>5</v>
      </c>
      <c r="G41" s="668">
        <f>G39+1</f>
        <v>1901</v>
      </c>
      <c r="H41" s="708">
        <f>+D41-$B$39</f>
        <v>517</v>
      </c>
      <c r="M41" s="691" t="s">
        <v>1829</v>
      </c>
      <c r="N41" s="741">
        <f>(1+N19)^-N38</f>
        <v>0.99009900990099031</v>
      </c>
    </row>
    <row r="42" spans="1:73" ht="13" x14ac:dyDescent="0.25">
      <c r="C42" s="668" t="s">
        <v>1849</v>
      </c>
      <c r="M42" s="727" t="s">
        <v>1850</v>
      </c>
      <c r="N42" s="743">
        <f ca="1">N18*O11</f>
        <v>0</v>
      </c>
      <c r="S42" s="744"/>
      <c r="T42" s="668" t="s">
        <v>1851</v>
      </c>
      <c r="V42" s="668">
        <f>(1+S7)^(-H13)</f>
        <v>1</v>
      </c>
      <c r="AC42" s="744"/>
      <c r="AD42" s="668" t="s">
        <v>1851</v>
      </c>
      <c r="AF42" s="668" t="e">
        <f>(1+AC7)^(-H14)</f>
        <v>#VALUE!</v>
      </c>
      <c r="AM42" s="744"/>
      <c r="AN42" s="668" t="s">
        <v>1851</v>
      </c>
      <c r="AP42" s="668" t="e">
        <f>(1+AM7)^(-H15)</f>
        <v>#VALUE!</v>
      </c>
      <c r="AW42" s="744"/>
      <c r="AX42" s="668" t="s">
        <v>1851</v>
      </c>
      <c r="AZ42" s="668" t="e">
        <f>(1+AW7)^(-H16)</f>
        <v>#VALUE!</v>
      </c>
      <c r="BG42" s="744"/>
      <c r="BH42" s="668" t="s">
        <v>1851</v>
      </c>
      <c r="BJ42" s="668" t="e">
        <f>(1+BG7)^(-H17)</f>
        <v>#VALUE!</v>
      </c>
      <c r="BQ42" s="744"/>
      <c r="BR42" s="668" t="s">
        <v>1851</v>
      </c>
      <c r="BT42" s="668">
        <f>(1+BQ7)^(-H18)</f>
        <v>1</v>
      </c>
    </row>
    <row r="43" spans="1:73" ht="13" x14ac:dyDescent="0.25">
      <c r="C43" s="736">
        <f>IF(B39&lt;D39,D39,IF(B39&gt;D40,D41,D40))</f>
        <v>152</v>
      </c>
      <c r="M43" s="727" t="s">
        <v>546</v>
      </c>
      <c r="N43" s="743">
        <f ca="1">PMT(N18,N39,-O11)</f>
        <v>0</v>
      </c>
    </row>
    <row r="44" spans="1:73" ht="13" x14ac:dyDescent="0.25">
      <c r="M44" s="691" t="s">
        <v>1832</v>
      </c>
      <c r="N44" s="745">
        <f>PV(N19,N39,-1)</f>
        <v>17.174758696730894</v>
      </c>
      <c r="T44" s="674" t="s">
        <v>1852</v>
      </c>
      <c r="V44" s="671">
        <f ca="1">IFERROR(((V38+V40)*V42),0)</f>
        <v>0</v>
      </c>
      <c r="W44" s="746" t="e">
        <f ca="1">V44+N34</f>
        <v>#DIV/0!</v>
      </c>
      <c r="AD44" s="674" t="s">
        <v>1852</v>
      </c>
      <c r="AF44" s="671">
        <f ca="1">IFERROR((AF38+AF40)*AF42,0)</f>
        <v>0</v>
      </c>
      <c r="AG44" s="746" t="e">
        <f ca="1">AF44+$N$34</f>
        <v>#DIV/0!</v>
      </c>
      <c r="AN44" s="674" t="s">
        <v>1852</v>
      </c>
      <c r="AP44" s="671">
        <f ca="1">IFERROR((AP38+AP40)*AP42,0)</f>
        <v>0</v>
      </c>
      <c r="AQ44" s="746" t="e">
        <f ca="1">AP44+$N$34</f>
        <v>#DIV/0!</v>
      </c>
      <c r="AX44" s="674" t="s">
        <v>1852</v>
      </c>
      <c r="AZ44" s="671">
        <f ca="1">IFERROR((AZ38+AZ40)*AZ42,0)</f>
        <v>0</v>
      </c>
      <c r="BA44" s="746" t="e">
        <f ca="1">AZ44+$N$34</f>
        <v>#DIV/0!</v>
      </c>
      <c r="BH44" s="674" t="s">
        <v>1852</v>
      </c>
      <c r="BJ44" s="671">
        <f ca="1">IFERROR((BJ38+BJ40)*BJ42,0)</f>
        <v>0</v>
      </c>
      <c r="BK44" s="746" t="e">
        <f ca="1">BJ44+$N$34</f>
        <v>#DIV/0!</v>
      </c>
      <c r="BR44" s="674" t="s">
        <v>1852</v>
      </c>
      <c r="BT44" s="671">
        <f ca="1">IFERROR((BT38+BT40)*BT42,0)</f>
        <v>0</v>
      </c>
      <c r="BU44" s="746" t="e">
        <f ca="1">BT44+$N$34</f>
        <v>#DIV/0!</v>
      </c>
    </row>
    <row r="45" spans="1:73" ht="13.5" thickBot="1" x14ac:dyDescent="0.3">
      <c r="M45" s="691" t="s">
        <v>1834</v>
      </c>
      <c r="N45" s="747">
        <f>PV(N19,N37,-1)</f>
        <v>0</v>
      </c>
    </row>
    <row r="46" spans="1:73" ht="16.5" thickTop="1" thickBot="1" x14ac:dyDescent="0.3">
      <c r="M46" s="730" t="s">
        <v>550</v>
      </c>
      <c r="N46" s="748" t="e">
        <f ca="1">IF(N39&lt;=0,0,((N18/(N19-N18)*(O11-N43*N44))*N40+N42*N45)*N41)</f>
        <v>#DIV/0!</v>
      </c>
    </row>
    <row r="47" spans="1:73" ht="13" thickTop="1" x14ac:dyDescent="0.25">
      <c r="A47" s="1833" t="s">
        <v>1853</v>
      </c>
      <c r="B47" s="1833"/>
      <c r="C47" s="1833"/>
      <c r="D47" s="1833"/>
      <c r="E47" s="1833"/>
      <c r="F47" s="1833"/>
      <c r="G47" s="1833"/>
      <c r="H47" s="1833"/>
    </row>
    <row r="48" spans="1:73" ht="28.5" customHeight="1" x14ac:dyDescent="0.25">
      <c r="A48" s="1833"/>
      <c r="B48" s="1833"/>
      <c r="C48" s="1833"/>
      <c r="D48" s="1833"/>
      <c r="E48" s="1833"/>
      <c r="F48" s="1833"/>
      <c r="G48" s="1833"/>
      <c r="H48" s="1833"/>
    </row>
    <row r="51" spans="21:23" x14ac:dyDescent="0.25">
      <c r="U51" s="668">
        <f>60/365</f>
        <v>0.16438356164383561</v>
      </c>
      <c r="W51" s="682">
        <f ca="1">S6/W55</f>
        <v>0</v>
      </c>
    </row>
    <row r="53" spans="21:23" x14ac:dyDescent="0.25">
      <c r="U53" s="668">
        <f>1/U51</f>
        <v>6.0833333333333339</v>
      </c>
    </row>
    <row r="54" spans="21:23" x14ac:dyDescent="0.25">
      <c r="W54" s="668">
        <f ca="1">(1-((1+S8)^(-19-U51)))</f>
        <v>9.0941634611448441E-2</v>
      </c>
    </row>
    <row r="55" spans="21:23" x14ac:dyDescent="0.25">
      <c r="U55" s="668">
        <f>60*U53</f>
        <v>365.00000000000006</v>
      </c>
      <c r="W55" s="668">
        <f ca="1">W54/S8</f>
        <v>18.233684627409918</v>
      </c>
    </row>
  </sheetData>
  <mergeCells count="9">
    <mergeCell ref="A47:H48"/>
    <mergeCell ref="BS3:BW3"/>
    <mergeCell ref="N8:O8"/>
    <mergeCell ref="A1:C1"/>
    <mergeCell ref="U3:Y3"/>
    <mergeCell ref="AE3:AI3"/>
    <mergeCell ref="AO3:AS3"/>
    <mergeCell ref="AY3:BC3"/>
    <mergeCell ref="BI3:BM3"/>
  </mergeCells>
  <pageMargins left="0.7" right="0.7" top="0.75" bottom="0.75" header="0.3" footer="0.3"/>
  <pageSetup paperSize="0" orientation="portrait" horizontalDpi="0" verticalDpi="0" copies="0"/>
  <legacy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FE941-DAFF-43A8-BCAC-617F402D15EF}">
  <sheetPr codeName="Foglio9"/>
  <dimension ref="A1:BW55"/>
  <sheetViews>
    <sheetView zoomScale="115" zoomScaleNormal="115" workbookViewId="0">
      <selection activeCell="B9" sqref="B9"/>
    </sheetView>
  </sheetViews>
  <sheetFormatPr defaultColWidth="8.7265625" defaultRowHeight="12.5" x14ac:dyDescent="0.25"/>
  <cols>
    <col min="1" max="1" width="37.1796875" style="668" customWidth="1"/>
    <col min="2" max="2" width="15.81640625" style="668" customWidth="1"/>
    <col min="3" max="3" width="30.1796875" style="668" customWidth="1"/>
    <col min="4" max="4" width="21.26953125" style="668" customWidth="1"/>
    <col min="5" max="5" width="14.453125" style="668" customWidth="1"/>
    <col min="6" max="6" width="19.453125" style="668" customWidth="1"/>
    <col min="7" max="12" width="15.81640625" style="668" customWidth="1"/>
    <col min="13" max="13" width="39" style="668" customWidth="1"/>
    <col min="14" max="14" width="16.54296875" style="668" customWidth="1"/>
    <col min="15" max="15" width="15.1796875" style="668" customWidth="1"/>
    <col min="16" max="16" width="4" style="668" customWidth="1"/>
    <col min="17" max="17" width="8.7265625" style="668" customWidth="1"/>
    <col min="18" max="18" width="26.1796875" style="668" customWidth="1"/>
    <col min="19" max="19" width="13.81640625" style="668" customWidth="1"/>
    <col min="20" max="20" width="9.453125" style="668" customWidth="1"/>
    <col min="21" max="21" width="9.81640625" style="668" customWidth="1"/>
    <col min="22" max="22" width="16.26953125" style="668" customWidth="1"/>
    <col min="23" max="23" width="11.7265625" style="668" customWidth="1"/>
    <col min="24" max="24" width="12.54296875" style="668" customWidth="1"/>
    <col min="25" max="25" width="10.81640625" style="668" customWidth="1"/>
    <col min="26" max="27" width="8.7265625" style="668" customWidth="1"/>
    <col min="28" max="28" width="26.1796875" style="668" customWidth="1"/>
    <col min="29" max="29" width="15.453125" style="668" customWidth="1"/>
    <col min="30" max="31" width="8.7265625" style="668" customWidth="1"/>
    <col min="32" max="32" width="17.81640625" style="668" customWidth="1"/>
    <col min="33" max="33" width="19.81640625" style="668" customWidth="1"/>
    <col min="34" max="34" width="15.453125" style="668" customWidth="1"/>
    <col min="35" max="35" width="10.81640625" style="668" customWidth="1"/>
    <col min="36" max="37" width="8.7265625" style="668" customWidth="1"/>
    <col min="38" max="38" width="27" style="668" customWidth="1"/>
    <col min="39" max="39" width="16.1796875" style="668" customWidth="1"/>
    <col min="40" max="40" width="12.54296875" style="668" customWidth="1"/>
    <col min="41" max="41" width="8.7265625" style="668" customWidth="1"/>
    <col min="42" max="42" width="15.26953125" style="668" customWidth="1"/>
    <col min="43" max="43" width="15.81640625" style="668" customWidth="1"/>
    <col min="44" max="44" width="12.1796875" style="668" customWidth="1"/>
    <col min="45" max="45" width="10.81640625" style="668" customWidth="1"/>
    <col min="46" max="47" width="8.7265625" style="668" customWidth="1"/>
    <col min="48" max="48" width="16" style="668" customWidth="1"/>
    <col min="49" max="49" width="12" style="668" customWidth="1"/>
    <col min="50" max="51" width="8.7265625" style="668" customWidth="1"/>
    <col min="52" max="52" width="15.26953125" style="668" customWidth="1"/>
    <col min="53" max="53" width="15.54296875" style="668" customWidth="1"/>
    <col min="54" max="54" width="12.1796875" style="668" customWidth="1"/>
    <col min="55" max="55" width="10.81640625" style="668" customWidth="1"/>
    <col min="56" max="58" width="8.7265625" style="668" customWidth="1"/>
    <col min="59" max="59" width="12" style="668" customWidth="1"/>
    <col min="60" max="61" width="8.7265625" style="668" customWidth="1"/>
    <col min="62" max="62" width="15.26953125" style="668" customWidth="1"/>
    <col min="63" max="63" width="15.54296875" style="668" customWidth="1"/>
    <col min="64" max="64" width="12.1796875" style="668" customWidth="1"/>
    <col min="65" max="65" width="10.81640625" style="668" customWidth="1"/>
    <col min="66" max="67" width="8.7265625" style="668" customWidth="1"/>
    <col min="68" max="68" width="22.7265625" style="668" customWidth="1"/>
    <col min="69" max="69" width="14.26953125" style="668" customWidth="1"/>
    <col min="70" max="70" width="22.1796875" style="668" customWidth="1"/>
    <col min="71" max="71" width="8.7265625" style="668" customWidth="1"/>
    <col min="72" max="72" width="15.81640625" style="668" customWidth="1"/>
    <col min="73" max="73" width="16.453125" style="668" customWidth="1"/>
    <col min="74" max="74" width="12.1796875" style="668" customWidth="1"/>
    <col min="75" max="75" width="10.81640625" style="668" customWidth="1"/>
    <col min="76" max="77" width="8.7265625" style="668" customWidth="1"/>
    <col min="78" max="16384" width="8.7265625" style="668"/>
  </cols>
  <sheetData>
    <row r="1" spans="1:75" ht="42.65" customHeight="1" x14ac:dyDescent="0.25">
      <c r="A1" s="1838" t="s">
        <v>1776</v>
      </c>
      <c r="B1" s="1838"/>
      <c r="C1" s="1838"/>
    </row>
    <row r="3" spans="1:75" x14ac:dyDescent="0.25">
      <c r="B3" s="668" t="s">
        <v>1764</v>
      </c>
      <c r="D3" s="668" t="s">
        <v>1765</v>
      </c>
      <c r="G3" s="669" t="s">
        <v>1699</v>
      </c>
      <c r="M3" s="668" t="s">
        <v>1766</v>
      </c>
      <c r="R3" s="668" t="s">
        <v>1767</v>
      </c>
      <c r="U3" s="1834" t="s">
        <v>1768</v>
      </c>
      <c r="V3" s="1834"/>
      <c r="W3" s="1834"/>
      <c r="X3" s="1834"/>
      <c r="Y3" s="1834"/>
      <c r="AE3" s="1834" t="s">
        <v>1769</v>
      </c>
      <c r="AF3" s="1834"/>
      <c r="AG3" s="1834"/>
      <c r="AH3" s="1834"/>
      <c r="AI3" s="1834"/>
      <c r="AO3" s="1834" t="s">
        <v>1770</v>
      </c>
      <c r="AP3" s="1834"/>
      <c r="AQ3" s="1834"/>
      <c r="AR3" s="1834"/>
      <c r="AS3" s="1834"/>
      <c r="AY3" s="1834" t="s">
        <v>1771</v>
      </c>
      <c r="AZ3" s="1834"/>
      <c r="BA3" s="1834"/>
      <c r="BB3" s="1834"/>
      <c r="BC3" s="1834"/>
      <c r="BI3" s="1834" t="s">
        <v>1772</v>
      </c>
      <c r="BJ3" s="1834"/>
      <c r="BK3" s="1834"/>
      <c r="BL3" s="1834"/>
      <c r="BM3" s="1834"/>
      <c r="BS3" s="1834" t="s">
        <v>1773</v>
      </c>
      <c r="BT3" s="1834"/>
      <c r="BU3" s="1834"/>
      <c r="BV3" s="1834"/>
      <c r="BW3" s="1834"/>
    </row>
    <row r="4" spans="1:75" x14ac:dyDescent="0.25">
      <c r="A4" s="668" t="s">
        <v>1707</v>
      </c>
      <c r="B4" s="670">
        <f>GBER!C19</f>
        <v>0</v>
      </c>
      <c r="D4" s="671">
        <f ca="1">-1*(V44+AF44+AP44+AZ44+BJ44+BT44)</f>
        <v>0</v>
      </c>
      <c r="G4" s="672" t="e">
        <f ca="1">(D4+D7)/SUM(J13:J18)</f>
        <v>#DIV/0!</v>
      </c>
    </row>
    <row r="5" spans="1:75" x14ac:dyDescent="0.25">
      <c r="M5" s="668" t="s">
        <v>1774</v>
      </c>
      <c r="N5" s="674">
        <v>0</v>
      </c>
    </row>
    <row r="6" spans="1:75" ht="13" x14ac:dyDescent="0.25">
      <c r="A6" s="668" t="s">
        <v>1775</v>
      </c>
      <c r="B6" s="675">
        <f ca="1">+ESL_V2!B6</f>
        <v>0.01</v>
      </c>
      <c r="D6" s="668" t="s">
        <v>1776</v>
      </c>
      <c r="M6" s="668" t="s">
        <v>1777</v>
      </c>
      <c r="N6" s="676">
        <v>0.75</v>
      </c>
      <c r="R6" s="668" t="s">
        <v>1778</v>
      </c>
      <c r="S6" s="668">
        <f>C13*B20</f>
        <v>0</v>
      </c>
      <c r="U6" s="668" t="s">
        <v>1779</v>
      </c>
      <c r="V6" s="677" t="s">
        <v>1780</v>
      </c>
      <c r="W6" s="678" t="s">
        <v>1781</v>
      </c>
      <c r="X6" s="678" t="s">
        <v>1782</v>
      </c>
      <c r="Y6" s="678" t="s">
        <v>1783</v>
      </c>
      <c r="AB6" s="668" t="s">
        <v>1784</v>
      </c>
      <c r="AC6" s="679">
        <f>C14*$B$20</f>
        <v>0</v>
      </c>
      <c r="AE6" s="668" t="s">
        <v>1779</v>
      </c>
      <c r="AF6" s="677" t="s">
        <v>1780</v>
      </c>
      <c r="AG6" s="678" t="s">
        <v>1781</v>
      </c>
      <c r="AH6" s="678" t="s">
        <v>1782</v>
      </c>
      <c r="AI6" s="678" t="s">
        <v>1783</v>
      </c>
      <c r="AL6" s="668" t="s">
        <v>1784</v>
      </c>
      <c r="AM6" s="668">
        <f>C15*$B$20</f>
        <v>0</v>
      </c>
      <c r="AO6" s="668" t="s">
        <v>1779</v>
      </c>
      <c r="AP6" s="677" t="s">
        <v>1780</v>
      </c>
      <c r="AQ6" s="678" t="s">
        <v>1781</v>
      </c>
      <c r="AR6" s="678" t="s">
        <v>1782</v>
      </c>
      <c r="AS6" s="678" t="s">
        <v>1783</v>
      </c>
      <c r="AV6" s="668" t="s">
        <v>1784</v>
      </c>
      <c r="AW6" s="668">
        <f>C16*$B$20</f>
        <v>0</v>
      </c>
      <c r="AY6" s="668" t="s">
        <v>1779</v>
      </c>
      <c r="AZ6" s="677" t="s">
        <v>1780</v>
      </c>
      <c r="BA6" s="678" t="s">
        <v>1781</v>
      </c>
      <c r="BB6" s="678" t="s">
        <v>1782</v>
      </c>
      <c r="BC6" s="678" t="s">
        <v>1783</v>
      </c>
      <c r="BF6" s="668" t="s">
        <v>1784</v>
      </c>
      <c r="BG6" s="668">
        <f>C17*$B$20</f>
        <v>0</v>
      </c>
      <c r="BI6" s="668" t="s">
        <v>1779</v>
      </c>
      <c r="BJ6" s="677" t="s">
        <v>1780</v>
      </c>
      <c r="BK6" s="678" t="s">
        <v>1781</v>
      </c>
      <c r="BL6" s="678" t="s">
        <v>1782</v>
      </c>
      <c r="BM6" s="678" t="s">
        <v>1783</v>
      </c>
      <c r="BP6" s="668" t="s">
        <v>1784</v>
      </c>
      <c r="BQ6" s="668">
        <f>C18*$B$20</f>
        <v>0</v>
      </c>
      <c r="BS6" s="668" t="s">
        <v>1779</v>
      </c>
      <c r="BT6" s="677" t="s">
        <v>1780</v>
      </c>
      <c r="BU6" s="678" t="s">
        <v>1781</v>
      </c>
      <c r="BV6" s="678" t="s">
        <v>1782</v>
      </c>
      <c r="BW6" s="678" t="s">
        <v>1783</v>
      </c>
    </row>
    <row r="7" spans="1:75" ht="15" thickBot="1" x14ac:dyDescent="0.4">
      <c r="A7" s="668" t="s">
        <v>1785</v>
      </c>
      <c r="B7" s="675">
        <f>B4+0.01</f>
        <v>0.01</v>
      </c>
      <c r="D7" s="680">
        <f ca="1">SUM(L13:L18)</f>
        <v>0</v>
      </c>
      <c r="F7" s="680"/>
      <c r="R7" s="668" t="s">
        <v>1786</v>
      </c>
      <c r="S7" s="681">
        <f>((1+B7)^(1/2))-1</f>
        <v>4.9875621120889502E-3</v>
      </c>
      <c r="X7" s="668">
        <f>S6</f>
        <v>0</v>
      </c>
      <c r="AB7" s="668" t="s">
        <v>1786</v>
      </c>
      <c r="AC7" s="681">
        <f>((1+$B$7)^(1/2))-1</f>
        <v>4.9875621120889502E-3</v>
      </c>
      <c r="AH7" s="668">
        <f>AC6</f>
        <v>0</v>
      </c>
      <c r="AL7" s="668" t="s">
        <v>1786</v>
      </c>
      <c r="AM7" s="681">
        <f>((1+$B$7)^(1/2))-1</f>
        <v>4.9875621120889502E-3</v>
      </c>
      <c r="AR7" s="668">
        <f>AM6</f>
        <v>0</v>
      </c>
      <c r="AV7" s="668" t="s">
        <v>1786</v>
      </c>
      <c r="AW7" s="681">
        <f>((1+$B$7)^(1/2))-1</f>
        <v>4.9875621120889502E-3</v>
      </c>
      <c r="BB7" s="668">
        <f>AW6</f>
        <v>0</v>
      </c>
      <c r="BF7" s="668" t="s">
        <v>1786</v>
      </c>
      <c r="BG7" s="681">
        <f>((1+$B$7)^(1/2))-1</f>
        <v>4.9875621120889502E-3</v>
      </c>
      <c r="BL7" s="668">
        <f>BG6</f>
        <v>0</v>
      </c>
      <c r="BP7" s="668" t="s">
        <v>1786</v>
      </c>
      <c r="BQ7" s="681">
        <f>((1+$B$7)^(1/2))-1</f>
        <v>4.9875621120889502E-3</v>
      </c>
      <c r="BV7" s="668">
        <f>BQ6</f>
        <v>0</v>
      </c>
    </row>
    <row r="8" spans="1:75" ht="15" thickBot="1" x14ac:dyDescent="0.4">
      <c r="A8" s="668" t="s">
        <v>1787</v>
      </c>
      <c r="B8" s="674">
        <f>+ESL_V2!B8</f>
        <v>10</v>
      </c>
      <c r="C8" s="682"/>
      <c r="D8" s="668" t="s">
        <v>1788</v>
      </c>
      <c r="N8" s="1835" t="s">
        <v>1789</v>
      </c>
      <c r="O8" s="1836"/>
      <c r="R8" s="668" t="s">
        <v>1790</v>
      </c>
      <c r="S8" s="683">
        <f ca="1">((1+B6)^(1/2))-1</f>
        <v>4.9875621120889502E-3</v>
      </c>
      <c r="U8" s="668">
        <v>1</v>
      </c>
      <c r="V8" s="684">
        <f ca="1">X7*(($S$14))</f>
        <v>0</v>
      </c>
      <c r="W8" s="685">
        <f ca="1">$S$18</f>
        <v>0</v>
      </c>
      <c r="X8" s="686">
        <f ca="1">X7-Y8</f>
        <v>0</v>
      </c>
      <c r="Y8" s="686">
        <f ca="1">W8-V8</f>
        <v>0</v>
      </c>
      <c r="AB8" s="668" t="s">
        <v>1790</v>
      </c>
      <c r="AC8" s="683">
        <f ca="1">((1+$B$6)^(1/2))-1</f>
        <v>4.9875621120889502E-3</v>
      </c>
      <c r="AE8" s="668">
        <v>1</v>
      </c>
      <c r="AF8" s="684" t="e">
        <f ca="1">AH7*(($AC$14))</f>
        <v>#VALUE!</v>
      </c>
      <c r="AG8" s="685" t="e">
        <f ca="1">$AC$18</f>
        <v>#VALUE!</v>
      </c>
      <c r="AH8" s="686" t="e">
        <f ca="1">AH7-AI8</f>
        <v>#VALUE!</v>
      </c>
      <c r="AI8" s="686" t="e">
        <f ca="1">AG8-AF8</f>
        <v>#VALUE!</v>
      </c>
      <c r="AL8" s="668" t="s">
        <v>1790</v>
      </c>
      <c r="AM8" s="683">
        <f ca="1">((1+$B$6)^(1/2))-1</f>
        <v>4.9875621120889502E-3</v>
      </c>
      <c r="AO8" s="668">
        <v>1</v>
      </c>
      <c r="AP8" s="684" t="e">
        <f ca="1">AR7*(($AM$14))</f>
        <v>#VALUE!</v>
      </c>
      <c r="AQ8" s="685" t="e">
        <f ca="1">$AM$18</f>
        <v>#VALUE!</v>
      </c>
      <c r="AR8" s="686" t="e">
        <f ca="1">AR7-AS8</f>
        <v>#VALUE!</v>
      </c>
      <c r="AS8" s="686" t="e">
        <f ca="1">AQ8-AP8</f>
        <v>#VALUE!</v>
      </c>
      <c r="AV8" s="668" t="s">
        <v>1790</v>
      </c>
      <c r="AW8" s="683">
        <f ca="1">((1+$B$6)^(1/2))-1</f>
        <v>4.9875621120889502E-3</v>
      </c>
      <c r="AY8" s="668">
        <v>1</v>
      </c>
      <c r="AZ8" s="684" t="e">
        <f ca="1">BB7*(($AW$14))</f>
        <v>#VALUE!</v>
      </c>
      <c r="BA8" s="685" t="e">
        <f ca="1">$AW$18</f>
        <v>#VALUE!</v>
      </c>
      <c r="BB8" s="686" t="e">
        <f ca="1">BB7-BC8</f>
        <v>#VALUE!</v>
      </c>
      <c r="BC8" s="686" t="e">
        <f ca="1">BA8-AZ8</f>
        <v>#VALUE!</v>
      </c>
      <c r="BF8" s="668" t="s">
        <v>1790</v>
      </c>
      <c r="BG8" s="683">
        <f ca="1">((1+$B$6)^(1/2))-1</f>
        <v>4.9875621120889502E-3</v>
      </c>
      <c r="BI8" s="668">
        <v>1</v>
      </c>
      <c r="BJ8" s="684" t="e">
        <f ca="1">BL7*((BG14))</f>
        <v>#VALUE!</v>
      </c>
      <c r="BK8" s="685" t="e">
        <f ca="1">$BG$18</f>
        <v>#VALUE!</v>
      </c>
      <c r="BL8" s="686" t="e">
        <f ca="1">BL7-BM8</f>
        <v>#VALUE!</v>
      </c>
      <c r="BM8" s="686" t="e">
        <f ca="1">BK8-BJ8</f>
        <v>#VALUE!</v>
      </c>
      <c r="BP8" s="668" t="s">
        <v>1790</v>
      </c>
      <c r="BQ8" s="683">
        <f ca="1">((1+$B$6)^(1/2))-1</f>
        <v>4.9875621120889502E-3</v>
      </c>
      <c r="BS8" s="668">
        <v>1</v>
      </c>
      <c r="BT8" s="684">
        <f ca="1">BV7*((BQ14))</f>
        <v>0</v>
      </c>
      <c r="BU8" s="685">
        <f ca="1">$BQ$18</f>
        <v>0</v>
      </c>
      <c r="BV8" s="686">
        <f ca="1">BV7-BW8</f>
        <v>0</v>
      </c>
      <c r="BW8" s="686">
        <f ca="1">BU8-BT8</f>
        <v>0</v>
      </c>
    </row>
    <row r="9" spans="1:75" ht="14.5" x14ac:dyDescent="0.35">
      <c r="D9" s="680">
        <f ca="1">D4+D7</f>
        <v>0</v>
      </c>
      <c r="M9" s="687"/>
      <c r="N9" s="688">
        <v>1</v>
      </c>
      <c r="O9" s="688">
        <v>2</v>
      </c>
      <c r="R9" s="668" t="s">
        <v>1791</v>
      </c>
      <c r="S9" s="689">
        <f>B8</f>
        <v>10</v>
      </c>
      <c r="U9" s="668">
        <v>2</v>
      </c>
      <c r="V9" s="684">
        <f ca="1">X8*(($S$8))</f>
        <v>0</v>
      </c>
      <c r="W9" s="685">
        <f t="shared" ref="W9:W27" ca="1" si="0">$S$18</f>
        <v>0</v>
      </c>
      <c r="X9" s="686">
        <f t="shared" ref="X9:X27" ca="1" si="1">X8-Y9</f>
        <v>0</v>
      </c>
      <c r="Y9" s="686">
        <f t="shared" ref="Y9:Y27" ca="1" si="2">W9-V9</f>
        <v>0</v>
      </c>
      <c r="AB9" s="668" t="s">
        <v>1791</v>
      </c>
      <c r="AC9" s="689">
        <f>S9</f>
        <v>10</v>
      </c>
      <c r="AE9" s="668">
        <v>2</v>
      </c>
      <c r="AF9" s="684" t="e">
        <f ca="1">AH8*(($AC$8))</f>
        <v>#VALUE!</v>
      </c>
      <c r="AG9" s="685" t="e">
        <f t="shared" ref="AG9:AG27" ca="1" si="3">$AC$18</f>
        <v>#VALUE!</v>
      </c>
      <c r="AH9" s="686" t="e">
        <f t="shared" ref="AH9:AH27" ca="1" si="4">AH8-AI9</f>
        <v>#VALUE!</v>
      </c>
      <c r="AI9" s="686" t="e">
        <f t="shared" ref="AI9:AI27" ca="1" si="5">AG9-AF9</f>
        <v>#VALUE!</v>
      </c>
      <c r="AL9" s="668" t="s">
        <v>1791</v>
      </c>
      <c r="AM9" s="689">
        <f>AC9</f>
        <v>10</v>
      </c>
      <c r="AO9" s="668">
        <v>2</v>
      </c>
      <c r="AP9" s="690" t="e">
        <f ca="1">AR8*(($AM$8))</f>
        <v>#VALUE!</v>
      </c>
      <c r="AQ9" s="685" t="e">
        <f t="shared" ref="AQ9:AQ27" ca="1" si="6">$AM$18</f>
        <v>#VALUE!</v>
      </c>
      <c r="AR9" s="686" t="e">
        <f t="shared" ref="AR9:AR22" ca="1" si="7">AR8-AS9</f>
        <v>#VALUE!</v>
      </c>
      <c r="AS9" s="686" t="e">
        <f t="shared" ref="AS9:AS27" ca="1" si="8">AQ9-AP9</f>
        <v>#VALUE!</v>
      </c>
      <c r="AV9" s="668" t="s">
        <v>1791</v>
      </c>
      <c r="AW9" s="689">
        <f>AM9</f>
        <v>10</v>
      </c>
      <c r="AY9" s="668">
        <v>2</v>
      </c>
      <c r="AZ9" s="684" t="e">
        <f ca="1">BB8*(($AW$8))</f>
        <v>#VALUE!</v>
      </c>
      <c r="BA9" s="685" t="e">
        <f t="shared" ref="BA9:BA27" ca="1" si="9">$AW$18</f>
        <v>#VALUE!</v>
      </c>
      <c r="BB9" s="686" t="e">
        <f t="shared" ref="BB9:BB22" ca="1" si="10">BB8-BC9</f>
        <v>#VALUE!</v>
      </c>
      <c r="BC9" s="686" t="e">
        <f t="shared" ref="BC9:BC27" ca="1" si="11">BA9-AZ9</f>
        <v>#VALUE!</v>
      </c>
      <c r="BF9" s="668" t="s">
        <v>1791</v>
      </c>
      <c r="BG9" s="689">
        <f>AW9</f>
        <v>10</v>
      </c>
      <c r="BI9" s="668">
        <v>2</v>
      </c>
      <c r="BJ9" s="684" t="e">
        <f ca="1">BL8*(($BG$8))</f>
        <v>#VALUE!</v>
      </c>
      <c r="BK9" s="685" t="e">
        <f t="shared" ref="BK9:BK27" ca="1" si="12">$BG$18</f>
        <v>#VALUE!</v>
      </c>
      <c r="BL9" s="686" t="e">
        <f t="shared" ref="BL9:BL22" ca="1" si="13">BL8-BM9</f>
        <v>#VALUE!</v>
      </c>
      <c r="BM9" s="686" t="e">
        <f t="shared" ref="BM9:BM27" ca="1" si="14">BK9-BJ9</f>
        <v>#VALUE!</v>
      </c>
      <c r="BP9" s="668" t="s">
        <v>1791</v>
      </c>
      <c r="BQ9" s="689">
        <f>BG9</f>
        <v>10</v>
      </c>
      <c r="BS9" s="668">
        <v>2</v>
      </c>
      <c r="BT9" s="684">
        <f ca="1">BV8*(($BQ$8))</f>
        <v>0</v>
      </c>
      <c r="BU9" s="685">
        <f t="shared" ref="BU9:BU27" ca="1" si="15">$BQ$18</f>
        <v>0</v>
      </c>
      <c r="BV9" s="686">
        <f t="shared" ref="BV9:BV22" ca="1" si="16">BV8-BW9</f>
        <v>0</v>
      </c>
      <c r="BW9" s="686">
        <f t="shared" ref="BW9:BW27" ca="1" si="17">BU9-BT9</f>
        <v>0</v>
      </c>
    </row>
    <row r="10" spans="1:75" ht="14.5" x14ac:dyDescent="0.35">
      <c r="C10" s="682"/>
      <c r="M10" s="687" t="s">
        <v>1792</v>
      </c>
      <c r="N10" s="674">
        <f>100000/0.75</f>
        <v>133333.33333333334</v>
      </c>
      <c r="O10" s="674"/>
      <c r="R10" s="691" t="s">
        <v>542</v>
      </c>
      <c r="U10" s="668">
        <v>3</v>
      </c>
      <c r="V10" s="684">
        <f ca="1">X9*(($S$8))</f>
        <v>0</v>
      </c>
      <c r="W10" s="685">
        <f t="shared" ca="1" si="0"/>
        <v>0</v>
      </c>
      <c r="X10" s="686">
        <f t="shared" ca="1" si="1"/>
        <v>0</v>
      </c>
      <c r="Y10" s="686">
        <f t="shared" ca="1" si="2"/>
        <v>0</v>
      </c>
      <c r="AB10" s="691" t="s">
        <v>542</v>
      </c>
      <c r="AE10" s="668">
        <v>3</v>
      </c>
      <c r="AF10" s="684" t="e">
        <f t="shared" ref="AF10:AF27" ca="1" si="18">AH9*(($AC$8))</f>
        <v>#VALUE!</v>
      </c>
      <c r="AG10" s="685" t="e">
        <f t="shared" ca="1" si="3"/>
        <v>#VALUE!</v>
      </c>
      <c r="AH10" s="686" t="e">
        <f t="shared" ca="1" si="4"/>
        <v>#VALUE!</v>
      </c>
      <c r="AI10" s="686" t="e">
        <f t="shared" ca="1" si="5"/>
        <v>#VALUE!</v>
      </c>
      <c r="AL10" s="691" t="s">
        <v>542</v>
      </c>
      <c r="AO10" s="668">
        <v>3</v>
      </c>
      <c r="AP10" s="690" t="e">
        <f t="shared" ref="AP10:AP26" ca="1" si="19">AR9*(($AM$8))</f>
        <v>#VALUE!</v>
      </c>
      <c r="AQ10" s="685" t="e">
        <f t="shared" ca="1" si="6"/>
        <v>#VALUE!</v>
      </c>
      <c r="AR10" s="686" t="e">
        <f t="shared" ca="1" si="7"/>
        <v>#VALUE!</v>
      </c>
      <c r="AS10" s="686" t="e">
        <f t="shared" ca="1" si="8"/>
        <v>#VALUE!</v>
      </c>
      <c r="AV10" s="691" t="s">
        <v>542</v>
      </c>
      <c r="AY10" s="668">
        <v>3</v>
      </c>
      <c r="AZ10" s="684" t="e">
        <f t="shared" ref="AZ10:AZ25" ca="1" si="20">BB9*(($AW$8))</f>
        <v>#VALUE!</v>
      </c>
      <c r="BA10" s="685" t="e">
        <f t="shared" ca="1" si="9"/>
        <v>#VALUE!</v>
      </c>
      <c r="BB10" s="686" t="e">
        <f t="shared" ca="1" si="10"/>
        <v>#VALUE!</v>
      </c>
      <c r="BC10" s="686" t="e">
        <f t="shared" ca="1" si="11"/>
        <v>#VALUE!</v>
      </c>
      <c r="BF10" s="691" t="s">
        <v>542</v>
      </c>
      <c r="BI10" s="668">
        <v>3</v>
      </c>
      <c r="BJ10" s="684" t="e">
        <f t="shared" ref="BJ10:BJ27" ca="1" si="21">BL9*(($BG$8))</f>
        <v>#VALUE!</v>
      </c>
      <c r="BK10" s="685" t="e">
        <f t="shared" ca="1" si="12"/>
        <v>#VALUE!</v>
      </c>
      <c r="BL10" s="686" t="e">
        <f t="shared" ca="1" si="13"/>
        <v>#VALUE!</v>
      </c>
      <c r="BM10" s="686" t="e">
        <f t="shared" ca="1" si="14"/>
        <v>#VALUE!</v>
      </c>
      <c r="BP10" s="691" t="s">
        <v>542</v>
      </c>
      <c r="BS10" s="668">
        <v>3</v>
      </c>
      <c r="BT10" s="692">
        <f ca="1">BV9*(($BQ$8))</f>
        <v>0</v>
      </c>
      <c r="BU10" s="685">
        <f t="shared" ca="1" si="15"/>
        <v>0</v>
      </c>
      <c r="BV10" s="686">
        <f t="shared" ca="1" si="16"/>
        <v>0</v>
      </c>
      <c r="BW10" s="686">
        <f t="shared" ca="1" si="17"/>
        <v>0</v>
      </c>
    </row>
    <row r="11" spans="1:75" ht="14.5" x14ac:dyDescent="0.35">
      <c r="M11" s="668" t="s">
        <v>1793</v>
      </c>
      <c r="N11" s="693">
        <f>N10*N6</f>
        <v>100000</v>
      </c>
      <c r="O11" s="693">
        <f>O10*N6</f>
        <v>0</v>
      </c>
      <c r="R11" s="691" t="s">
        <v>1794</v>
      </c>
      <c r="S11" s="668">
        <f>2</f>
        <v>2</v>
      </c>
      <c r="U11" s="668">
        <v>4</v>
      </c>
      <c r="V11" s="684">
        <f t="shared" ref="V11:V27" ca="1" si="22">X10*(($S$8))</f>
        <v>0</v>
      </c>
      <c r="W11" s="685">
        <f t="shared" ca="1" si="0"/>
        <v>0</v>
      </c>
      <c r="X11" s="686">
        <f t="shared" ca="1" si="1"/>
        <v>0</v>
      </c>
      <c r="Y11" s="686">
        <f t="shared" ca="1" si="2"/>
        <v>0</v>
      </c>
      <c r="AB11" s="691" t="s">
        <v>1794</v>
      </c>
      <c r="AC11" s="668">
        <f>2</f>
        <v>2</v>
      </c>
      <c r="AE11" s="668">
        <v>4</v>
      </c>
      <c r="AF11" s="684" t="e">
        <f t="shared" ca="1" si="18"/>
        <v>#VALUE!</v>
      </c>
      <c r="AG11" s="685" t="e">
        <f t="shared" ca="1" si="3"/>
        <v>#VALUE!</v>
      </c>
      <c r="AH11" s="686" t="e">
        <f t="shared" ca="1" si="4"/>
        <v>#VALUE!</v>
      </c>
      <c r="AI11" s="686" t="e">
        <f t="shared" ca="1" si="5"/>
        <v>#VALUE!</v>
      </c>
      <c r="AL11" s="691" t="s">
        <v>1794</v>
      </c>
      <c r="AM11" s="668">
        <f>2</f>
        <v>2</v>
      </c>
      <c r="AO11" s="668">
        <v>4</v>
      </c>
      <c r="AP11" s="690" t="e">
        <f t="shared" ca="1" si="19"/>
        <v>#VALUE!</v>
      </c>
      <c r="AQ11" s="685" t="e">
        <f t="shared" ca="1" si="6"/>
        <v>#VALUE!</v>
      </c>
      <c r="AR11" s="686" t="e">
        <f t="shared" ca="1" si="7"/>
        <v>#VALUE!</v>
      </c>
      <c r="AS11" s="686" t="e">
        <f t="shared" ca="1" si="8"/>
        <v>#VALUE!</v>
      </c>
      <c r="AV11" s="691" t="s">
        <v>1794</v>
      </c>
      <c r="AW11" s="668">
        <f>2</f>
        <v>2</v>
      </c>
      <c r="AY11" s="668">
        <v>4</v>
      </c>
      <c r="AZ11" s="684" t="e">
        <f t="shared" ca="1" si="20"/>
        <v>#VALUE!</v>
      </c>
      <c r="BA11" s="685" t="e">
        <f t="shared" ca="1" si="9"/>
        <v>#VALUE!</v>
      </c>
      <c r="BB11" s="686" t="e">
        <f t="shared" ca="1" si="10"/>
        <v>#VALUE!</v>
      </c>
      <c r="BC11" s="686" t="e">
        <f t="shared" ca="1" si="11"/>
        <v>#VALUE!</v>
      </c>
      <c r="BF11" s="691" t="s">
        <v>1794</v>
      </c>
      <c r="BG11" s="668">
        <f>2</f>
        <v>2</v>
      </c>
      <c r="BI11" s="668">
        <v>4</v>
      </c>
      <c r="BJ11" s="684" t="e">
        <f t="shared" ca="1" si="21"/>
        <v>#VALUE!</v>
      </c>
      <c r="BK11" s="685" t="e">
        <f t="shared" ca="1" si="12"/>
        <v>#VALUE!</v>
      </c>
      <c r="BL11" s="686" t="e">
        <f t="shared" ca="1" si="13"/>
        <v>#VALUE!</v>
      </c>
      <c r="BM11" s="686" t="e">
        <f t="shared" ca="1" si="14"/>
        <v>#VALUE!</v>
      </c>
      <c r="BP11" s="691" t="s">
        <v>1794</v>
      </c>
      <c r="BQ11" s="668">
        <f>2</f>
        <v>2</v>
      </c>
      <c r="BS11" s="668">
        <v>4</v>
      </c>
      <c r="BT11" s="684">
        <f t="shared" ref="BT11:BT27" ca="1" si="23">BV10*(($BQ$8))</f>
        <v>0</v>
      </c>
      <c r="BU11" s="685">
        <f t="shared" ca="1" si="15"/>
        <v>0</v>
      </c>
      <c r="BV11" s="686">
        <f t="shared" ca="1" si="16"/>
        <v>0</v>
      </c>
      <c r="BW11" s="686">
        <f t="shared" ca="1" si="17"/>
        <v>0</v>
      </c>
    </row>
    <row r="12" spans="1:75" ht="14.5" x14ac:dyDescent="0.35">
      <c r="B12" s="668" t="s">
        <v>1795</v>
      </c>
      <c r="C12" s="668" t="s">
        <v>1796</v>
      </c>
      <c r="D12" s="668" t="s">
        <v>1797</v>
      </c>
      <c r="E12" s="668" t="s">
        <v>1798</v>
      </c>
      <c r="F12" s="668" t="s">
        <v>1799</v>
      </c>
      <c r="G12" s="668" t="s">
        <v>1800</v>
      </c>
      <c r="H12" s="668" t="s">
        <v>1801</v>
      </c>
      <c r="I12" s="668" t="s">
        <v>1802</v>
      </c>
      <c r="J12" s="668" t="s">
        <v>1803</v>
      </c>
      <c r="K12" s="668" t="s">
        <v>1804</v>
      </c>
      <c r="L12" s="668" t="s">
        <v>1805</v>
      </c>
      <c r="U12" s="668">
        <v>5</v>
      </c>
      <c r="V12" s="684">
        <f t="shared" ca="1" si="22"/>
        <v>0</v>
      </c>
      <c r="W12" s="685">
        <f t="shared" ca="1" si="0"/>
        <v>0</v>
      </c>
      <c r="X12" s="686">
        <f t="shared" ca="1" si="1"/>
        <v>0</v>
      </c>
      <c r="Y12" s="686">
        <f t="shared" ca="1" si="2"/>
        <v>0</v>
      </c>
      <c r="AE12" s="668">
        <v>5</v>
      </c>
      <c r="AF12" s="684" t="e">
        <f t="shared" ca="1" si="18"/>
        <v>#VALUE!</v>
      </c>
      <c r="AG12" s="685" t="e">
        <f t="shared" ca="1" si="3"/>
        <v>#VALUE!</v>
      </c>
      <c r="AH12" s="686" t="e">
        <f t="shared" ca="1" si="4"/>
        <v>#VALUE!</v>
      </c>
      <c r="AI12" s="686" t="e">
        <f t="shared" ca="1" si="5"/>
        <v>#VALUE!</v>
      </c>
      <c r="AO12" s="668">
        <v>5</v>
      </c>
      <c r="AP12" s="690" t="e">
        <f t="shared" ca="1" si="19"/>
        <v>#VALUE!</v>
      </c>
      <c r="AQ12" s="685" t="e">
        <f t="shared" ca="1" si="6"/>
        <v>#VALUE!</v>
      </c>
      <c r="AR12" s="686" t="e">
        <f t="shared" ca="1" si="7"/>
        <v>#VALUE!</v>
      </c>
      <c r="AS12" s="686" t="e">
        <f t="shared" ca="1" si="8"/>
        <v>#VALUE!</v>
      </c>
      <c r="AY12" s="668">
        <v>5</v>
      </c>
      <c r="AZ12" s="684" t="e">
        <f t="shared" ca="1" si="20"/>
        <v>#VALUE!</v>
      </c>
      <c r="BA12" s="685" t="e">
        <f t="shared" ca="1" si="9"/>
        <v>#VALUE!</v>
      </c>
      <c r="BB12" s="686" t="e">
        <f t="shared" ca="1" si="10"/>
        <v>#VALUE!</v>
      </c>
      <c r="BC12" s="686" t="e">
        <f t="shared" ca="1" si="11"/>
        <v>#VALUE!</v>
      </c>
      <c r="BI12" s="668">
        <v>5</v>
      </c>
      <c r="BJ12" s="684" t="e">
        <f t="shared" ca="1" si="21"/>
        <v>#VALUE!</v>
      </c>
      <c r="BK12" s="685" t="e">
        <f t="shared" ca="1" si="12"/>
        <v>#VALUE!</v>
      </c>
      <c r="BL12" s="686" t="e">
        <f t="shared" ca="1" si="13"/>
        <v>#VALUE!</v>
      </c>
      <c r="BM12" s="686" t="e">
        <f t="shared" ca="1" si="14"/>
        <v>#VALUE!</v>
      </c>
      <c r="BS12" s="668">
        <v>5</v>
      </c>
      <c r="BT12" s="684">
        <f t="shared" ca="1" si="23"/>
        <v>0</v>
      </c>
      <c r="BU12" s="685">
        <f t="shared" ca="1" si="15"/>
        <v>0</v>
      </c>
      <c r="BV12" s="686">
        <f t="shared" ca="1" si="16"/>
        <v>0</v>
      </c>
      <c r="BW12" s="686">
        <f t="shared" ca="1" si="17"/>
        <v>0</v>
      </c>
    </row>
    <row r="13" spans="1:75" ht="14.5" x14ac:dyDescent="0.35">
      <c r="A13" s="668" t="s">
        <v>1806</v>
      </c>
      <c r="B13" s="694">
        <f>GBER!H24</f>
        <v>0</v>
      </c>
      <c r="C13" s="695"/>
      <c r="D13" s="696">
        <f>_xlfn.DAYS(B23,B13)</f>
        <v>335</v>
      </c>
      <c r="E13" s="668">
        <f t="shared" ref="E13:E18" si="24">+IF(D13&gt;183,183,D13)</f>
        <v>183</v>
      </c>
      <c r="F13" s="668">
        <f t="shared" ref="F13:F18" si="25">((1+$B$7)^(E13/366))-1</f>
        <v>4.9875621120889502E-3</v>
      </c>
      <c r="G13" s="668">
        <f t="shared" ref="G13:G18" si="26">IF(D13&gt;183,D13-183,0)</f>
        <v>152</v>
      </c>
      <c r="H13" s="668">
        <f>(B13-$B$24)/183</f>
        <v>0</v>
      </c>
      <c r="I13" s="695">
        <f ca="1">GBER!L24</f>
        <v>0</v>
      </c>
      <c r="J13" s="697">
        <f ca="1">IFERROR(I13*(1+$B$7)^(_xlfn.DAYS($B$24,B13)/366),"")</f>
        <v>0</v>
      </c>
      <c r="K13" s="698">
        <f ca="1">GBER!J24</f>
        <v>0</v>
      </c>
      <c r="L13" s="679">
        <f ca="1">IFERROR(K13*(1+$B$7)^(_xlfn.DAYS($B$24,B13)/366),"")</f>
        <v>0</v>
      </c>
      <c r="R13" s="668" t="s">
        <v>1807</v>
      </c>
      <c r="S13" s="699">
        <f ca="1">(1-1*((1+S8)^(-S9*S11)))/S8</f>
        <v>18.989847781032626</v>
      </c>
      <c r="T13" s="686"/>
      <c r="U13" s="668">
        <v>6</v>
      </c>
      <c r="V13" s="684">
        <f t="shared" ca="1" si="22"/>
        <v>0</v>
      </c>
      <c r="W13" s="685">
        <f t="shared" ca="1" si="0"/>
        <v>0</v>
      </c>
      <c r="X13" s="686">
        <f t="shared" ca="1" si="1"/>
        <v>0</v>
      </c>
      <c r="Y13" s="686">
        <f t="shared" ca="1" si="2"/>
        <v>0</v>
      </c>
      <c r="AB13" s="668" t="s">
        <v>1807</v>
      </c>
      <c r="AC13" s="699">
        <f ca="1">(1-1*((1+AC8)^(-AC9*AC11)))/AC8</f>
        <v>18.989847781032626</v>
      </c>
      <c r="AE13" s="668">
        <v>6</v>
      </c>
      <c r="AF13" s="684" t="e">
        <f t="shared" ca="1" si="18"/>
        <v>#VALUE!</v>
      </c>
      <c r="AG13" s="685" t="e">
        <f t="shared" ca="1" si="3"/>
        <v>#VALUE!</v>
      </c>
      <c r="AH13" s="686" t="e">
        <f t="shared" ca="1" si="4"/>
        <v>#VALUE!</v>
      </c>
      <c r="AI13" s="686" t="e">
        <f t="shared" ca="1" si="5"/>
        <v>#VALUE!</v>
      </c>
      <c r="AL13" s="668" t="s">
        <v>1807</v>
      </c>
      <c r="AM13" s="699">
        <f ca="1">(1-1*((1+AM8)^(-AM9*AM11)))/AM8</f>
        <v>18.989847781032626</v>
      </c>
      <c r="AO13" s="668">
        <v>6</v>
      </c>
      <c r="AP13" s="690" t="e">
        <f t="shared" ca="1" si="19"/>
        <v>#VALUE!</v>
      </c>
      <c r="AQ13" s="685" t="e">
        <f t="shared" ca="1" si="6"/>
        <v>#VALUE!</v>
      </c>
      <c r="AR13" s="686" t="e">
        <f t="shared" ca="1" si="7"/>
        <v>#VALUE!</v>
      </c>
      <c r="AS13" s="686" t="e">
        <f t="shared" ca="1" si="8"/>
        <v>#VALUE!</v>
      </c>
      <c r="AV13" s="668" t="s">
        <v>1807</v>
      </c>
      <c r="AW13" s="699">
        <f ca="1">(1-1*((1+AW8)^(-AW9*AW11)))/AW8</f>
        <v>18.989847781032626</v>
      </c>
      <c r="AY13" s="668">
        <v>6</v>
      </c>
      <c r="AZ13" s="684" t="e">
        <f t="shared" ca="1" si="20"/>
        <v>#VALUE!</v>
      </c>
      <c r="BA13" s="685" t="e">
        <f t="shared" ca="1" si="9"/>
        <v>#VALUE!</v>
      </c>
      <c r="BB13" s="686" t="e">
        <f t="shared" ca="1" si="10"/>
        <v>#VALUE!</v>
      </c>
      <c r="BC13" s="686" t="e">
        <f t="shared" ca="1" si="11"/>
        <v>#VALUE!</v>
      </c>
      <c r="BF13" s="668" t="s">
        <v>1807</v>
      </c>
      <c r="BG13" s="699">
        <f ca="1">(1-1*((1+BG8)^(-BG9*BG11)))/BG8</f>
        <v>18.989847781032626</v>
      </c>
      <c r="BI13" s="668">
        <v>6</v>
      </c>
      <c r="BJ13" s="684" t="e">
        <f t="shared" ca="1" si="21"/>
        <v>#VALUE!</v>
      </c>
      <c r="BK13" s="685" t="e">
        <f t="shared" ca="1" si="12"/>
        <v>#VALUE!</v>
      </c>
      <c r="BL13" s="686" t="e">
        <f t="shared" ca="1" si="13"/>
        <v>#VALUE!</v>
      </c>
      <c r="BM13" s="686" t="e">
        <f t="shared" ca="1" si="14"/>
        <v>#VALUE!</v>
      </c>
      <c r="BP13" s="668" t="s">
        <v>1807</v>
      </c>
      <c r="BQ13" s="699">
        <f ca="1">(1-1*((1+BQ8)^(-BQ9*BQ11)))/BQ8</f>
        <v>18.989847781032626</v>
      </c>
      <c r="BS13" s="668">
        <v>6</v>
      </c>
      <c r="BT13" s="684">
        <f t="shared" ca="1" si="23"/>
        <v>0</v>
      </c>
      <c r="BU13" s="685">
        <f t="shared" ca="1" si="15"/>
        <v>0</v>
      </c>
      <c r="BV13" s="686">
        <f t="shared" ca="1" si="16"/>
        <v>0</v>
      </c>
      <c r="BW13" s="686">
        <f t="shared" ca="1" si="17"/>
        <v>0</v>
      </c>
    </row>
    <row r="14" spans="1:75" ht="15.5" x14ac:dyDescent="0.35">
      <c r="A14" s="668" t="s">
        <v>1808</v>
      </c>
      <c r="B14" s="694" t="str">
        <f>GBER!H25</f>
        <v/>
      </c>
      <c r="C14" s="695"/>
      <c r="D14" s="696" t="e">
        <f>_xlfn.DAYS($B$23,B14)</f>
        <v>#VALUE!</v>
      </c>
      <c r="E14" s="668" t="e">
        <f>+IF(D14&gt;183,183,D14)</f>
        <v>#VALUE!</v>
      </c>
      <c r="F14" s="668" t="e">
        <f>((1+$B$7)^(E14/366))-1</f>
        <v>#VALUE!</v>
      </c>
      <c r="G14" s="668" t="e">
        <f>IF(D14&gt;183,D14-183,0)</f>
        <v>#VALUE!</v>
      </c>
      <c r="H14" s="668" t="e">
        <f>(B14-$B$24)/183</f>
        <v>#VALUE!</v>
      </c>
      <c r="I14" s="695">
        <f ca="1">GBER!L25</f>
        <v>0</v>
      </c>
      <c r="J14" s="697" t="str">
        <f t="shared" ref="J14:J18" ca="1" si="27">IFERROR(I14*(1+$B$7)^(_xlfn.DAYS($B$24,B14)/366),"")</f>
        <v/>
      </c>
      <c r="K14" s="698">
        <f ca="1">GBER!J25</f>
        <v>0</v>
      </c>
      <c r="L14" s="679" t="str">
        <f ca="1">IFERROR(K14*(1+$B$7)^(_xlfn.DAYS($B$24,B14)/366),"")</f>
        <v/>
      </c>
      <c r="M14" s="701" t="s">
        <v>488</v>
      </c>
      <c r="N14" s="702" t="e">
        <f ca="1">N34+N46</f>
        <v>#DIV/0!</v>
      </c>
      <c r="R14" s="668" t="s">
        <v>1809</v>
      </c>
      <c r="S14" s="703">
        <f ca="1">((1+$B$6)^(E13/366))-1</f>
        <v>4.9875621120889502E-3</v>
      </c>
      <c r="U14" s="668">
        <v>7</v>
      </c>
      <c r="V14" s="684">
        <f t="shared" ca="1" si="22"/>
        <v>0</v>
      </c>
      <c r="W14" s="685">
        <f t="shared" ca="1" si="0"/>
        <v>0</v>
      </c>
      <c r="X14" s="686">
        <f t="shared" ca="1" si="1"/>
        <v>0</v>
      </c>
      <c r="Y14" s="686">
        <f t="shared" ca="1" si="2"/>
        <v>0</v>
      </c>
      <c r="AB14" s="668" t="s">
        <v>1809</v>
      </c>
      <c r="AC14" s="683" t="e">
        <f ca="1">((1+$B$6)^(E14/366))-1</f>
        <v>#VALUE!</v>
      </c>
      <c r="AE14" s="668">
        <v>7</v>
      </c>
      <c r="AF14" s="684" t="e">
        <f t="shared" ca="1" si="18"/>
        <v>#VALUE!</v>
      </c>
      <c r="AG14" s="685" t="e">
        <f t="shared" ca="1" si="3"/>
        <v>#VALUE!</v>
      </c>
      <c r="AH14" s="686" t="e">
        <f t="shared" ca="1" si="4"/>
        <v>#VALUE!</v>
      </c>
      <c r="AI14" s="686" t="e">
        <f t="shared" ca="1" si="5"/>
        <v>#VALUE!</v>
      </c>
      <c r="AL14" s="668" t="s">
        <v>1809</v>
      </c>
      <c r="AM14" s="683" t="e">
        <f ca="1">((1+$B$6)^(E15/366))-1</f>
        <v>#VALUE!</v>
      </c>
      <c r="AO14" s="668">
        <v>7</v>
      </c>
      <c r="AP14" s="690" t="e">
        <f t="shared" ca="1" si="19"/>
        <v>#VALUE!</v>
      </c>
      <c r="AQ14" s="685" t="e">
        <f t="shared" ca="1" si="6"/>
        <v>#VALUE!</v>
      </c>
      <c r="AR14" s="686" t="e">
        <f t="shared" ca="1" si="7"/>
        <v>#VALUE!</v>
      </c>
      <c r="AS14" s="686" t="e">
        <f t="shared" ca="1" si="8"/>
        <v>#VALUE!</v>
      </c>
      <c r="AV14" s="668" t="s">
        <v>1809</v>
      </c>
      <c r="AW14" s="683" t="e">
        <f ca="1">((1+$B$6)^(E16/366))-1</f>
        <v>#VALUE!</v>
      </c>
      <c r="AY14" s="668">
        <v>7</v>
      </c>
      <c r="AZ14" s="684" t="e">
        <f t="shared" ca="1" si="20"/>
        <v>#VALUE!</v>
      </c>
      <c r="BA14" s="685" t="e">
        <f t="shared" ca="1" si="9"/>
        <v>#VALUE!</v>
      </c>
      <c r="BB14" s="686" t="e">
        <f t="shared" ca="1" si="10"/>
        <v>#VALUE!</v>
      </c>
      <c r="BC14" s="686" t="e">
        <f t="shared" ca="1" si="11"/>
        <v>#VALUE!</v>
      </c>
      <c r="BF14" s="668" t="s">
        <v>1809</v>
      </c>
      <c r="BG14" s="683" t="e">
        <f ca="1">((1+$B$6)^(E17/366))-1</f>
        <v>#VALUE!</v>
      </c>
      <c r="BI14" s="668">
        <v>7</v>
      </c>
      <c r="BJ14" s="684" t="e">
        <f t="shared" ca="1" si="21"/>
        <v>#VALUE!</v>
      </c>
      <c r="BK14" s="685" t="e">
        <f t="shared" ca="1" si="12"/>
        <v>#VALUE!</v>
      </c>
      <c r="BL14" s="686" t="e">
        <f t="shared" ca="1" si="13"/>
        <v>#VALUE!</v>
      </c>
      <c r="BM14" s="686" t="e">
        <f t="shared" ca="1" si="14"/>
        <v>#VALUE!</v>
      </c>
      <c r="BP14" s="668" t="s">
        <v>1809</v>
      </c>
      <c r="BQ14" s="683">
        <f ca="1">((1+$B$6)^(E18/366))-1</f>
        <v>4.9875621120889502E-3</v>
      </c>
      <c r="BS14" s="668">
        <v>7</v>
      </c>
      <c r="BT14" s="684">
        <f t="shared" ca="1" si="23"/>
        <v>0</v>
      </c>
      <c r="BU14" s="685">
        <f t="shared" ca="1" si="15"/>
        <v>0</v>
      </c>
      <c r="BV14" s="686">
        <f t="shared" ca="1" si="16"/>
        <v>0</v>
      </c>
      <c r="BW14" s="686">
        <f t="shared" ca="1" si="17"/>
        <v>0</v>
      </c>
    </row>
    <row r="15" spans="1:75" ht="14.5" x14ac:dyDescent="0.35">
      <c r="A15" s="668" t="s">
        <v>1810</v>
      </c>
      <c r="B15" s="694" t="str">
        <f>GBER!H26</f>
        <v/>
      </c>
      <c r="C15" s="695"/>
      <c r="D15" s="696" t="e">
        <f>_xlfn.DAYS($B$23,B15)</f>
        <v>#VALUE!</v>
      </c>
      <c r="E15" s="668" t="e">
        <f t="shared" si="24"/>
        <v>#VALUE!</v>
      </c>
      <c r="F15" s="668" t="e">
        <f>((1+$B$7)^(E15/366))-1</f>
        <v>#VALUE!</v>
      </c>
      <c r="G15" s="668" t="e">
        <f t="shared" si="26"/>
        <v>#VALUE!</v>
      </c>
      <c r="H15" s="668" t="e">
        <f>(B15-$B$24)/183</f>
        <v>#VALUE!</v>
      </c>
      <c r="I15" s="695">
        <f ca="1">GBER!L26</f>
        <v>0</v>
      </c>
      <c r="J15" s="697" t="str">
        <f t="shared" ca="1" si="27"/>
        <v/>
      </c>
      <c r="K15" s="698">
        <f ca="1">GBER!J26</f>
        <v>0</v>
      </c>
      <c r="L15" s="679" t="str">
        <f ca="1">IFERROR(K15*(1+$B$7)^(_xlfn.DAYS($B$24,B15)/366),"")</f>
        <v/>
      </c>
      <c r="R15" s="668" t="s">
        <v>1811</v>
      </c>
      <c r="S15" s="681">
        <f>F13</f>
        <v>4.9875621120889502E-3</v>
      </c>
      <c r="U15" s="668">
        <v>8</v>
      </c>
      <c r="V15" s="684">
        <f t="shared" ca="1" si="22"/>
        <v>0</v>
      </c>
      <c r="W15" s="685">
        <f t="shared" ca="1" si="0"/>
        <v>0</v>
      </c>
      <c r="X15" s="686">
        <f t="shared" ca="1" si="1"/>
        <v>0</v>
      </c>
      <c r="Y15" s="686">
        <f t="shared" ca="1" si="2"/>
        <v>0</v>
      </c>
      <c r="AB15" s="668" t="s">
        <v>1811</v>
      </c>
      <c r="AC15" s="704" t="e">
        <f>F14</f>
        <v>#VALUE!</v>
      </c>
      <c r="AE15" s="668">
        <v>8</v>
      </c>
      <c r="AF15" s="684" t="e">
        <f t="shared" ca="1" si="18"/>
        <v>#VALUE!</v>
      </c>
      <c r="AG15" s="685" t="e">
        <f t="shared" ca="1" si="3"/>
        <v>#VALUE!</v>
      </c>
      <c r="AH15" s="686" t="e">
        <f t="shared" ca="1" si="4"/>
        <v>#VALUE!</v>
      </c>
      <c r="AI15" s="686" t="e">
        <f t="shared" ca="1" si="5"/>
        <v>#VALUE!</v>
      </c>
      <c r="AL15" s="668" t="s">
        <v>1811</v>
      </c>
      <c r="AM15" s="704" t="e">
        <f>F15</f>
        <v>#VALUE!</v>
      </c>
      <c r="AO15" s="668">
        <v>8</v>
      </c>
      <c r="AP15" s="690" t="e">
        <f t="shared" ca="1" si="19"/>
        <v>#VALUE!</v>
      </c>
      <c r="AQ15" s="685" t="e">
        <f t="shared" ca="1" si="6"/>
        <v>#VALUE!</v>
      </c>
      <c r="AR15" s="686" t="e">
        <f t="shared" ca="1" si="7"/>
        <v>#VALUE!</v>
      </c>
      <c r="AS15" s="686" t="e">
        <f t="shared" ca="1" si="8"/>
        <v>#VALUE!</v>
      </c>
      <c r="AV15" s="668" t="s">
        <v>1811</v>
      </c>
      <c r="AW15" s="704" t="e">
        <f>F16</f>
        <v>#VALUE!</v>
      </c>
      <c r="AY15" s="668">
        <v>8</v>
      </c>
      <c r="AZ15" s="684" t="e">
        <f t="shared" ca="1" si="20"/>
        <v>#VALUE!</v>
      </c>
      <c r="BA15" s="685" t="e">
        <f t="shared" ca="1" si="9"/>
        <v>#VALUE!</v>
      </c>
      <c r="BB15" s="686" t="e">
        <f t="shared" ca="1" si="10"/>
        <v>#VALUE!</v>
      </c>
      <c r="BC15" s="686" t="e">
        <f t="shared" ca="1" si="11"/>
        <v>#VALUE!</v>
      </c>
      <c r="BF15" s="668" t="s">
        <v>1811</v>
      </c>
      <c r="BG15" s="704" t="e">
        <f>F17</f>
        <v>#VALUE!</v>
      </c>
      <c r="BI15" s="668">
        <v>8</v>
      </c>
      <c r="BJ15" s="684" t="e">
        <f t="shared" ca="1" si="21"/>
        <v>#VALUE!</v>
      </c>
      <c r="BK15" s="685" t="e">
        <f t="shared" ca="1" si="12"/>
        <v>#VALUE!</v>
      </c>
      <c r="BL15" s="686" t="e">
        <f t="shared" ca="1" si="13"/>
        <v>#VALUE!</v>
      </c>
      <c r="BM15" s="686" t="e">
        <f t="shared" ca="1" si="14"/>
        <v>#VALUE!</v>
      </c>
      <c r="BP15" s="668" t="s">
        <v>1811</v>
      </c>
      <c r="BQ15" s="704">
        <f>F18</f>
        <v>4.9875621120889502E-3</v>
      </c>
      <c r="BS15" s="668">
        <v>8</v>
      </c>
      <c r="BT15" s="684">
        <f t="shared" ca="1" si="23"/>
        <v>0</v>
      </c>
      <c r="BU15" s="685">
        <f t="shared" ca="1" si="15"/>
        <v>0</v>
      </c>
      <c r="BV15" s="686">
        <f t="shared" ca="1" si="16"/>
        <v>0</v>
      </c>
      <c r="BW15" s="686">
        <f t="shared" ca="1" si="17"/>
        <v>0</v>
      </c>
    </row>
    <row r="16" spans="1:75" ht="14.5" x14ac:dyDescent="0.35">
      <c r="A16" s="668" t="s">
        <v>1812</v>
      </c>
      <c r="B16" s="694" t="str">
        <f>GBER!H27</f>
        <v/>
      </c>
      <c r="C16" s="749"/>
      <c r="D16" s="696" t="e">
        <f>_xlfn.DAYS($B$23,B16)</f>
        <v>#VALUE!</v>
      </c>
      <c r="E16" s="668" t="e">
        <f t="shared" si="24"/>
        <v>#VALUE!</v>
      </c>
      <c r="F16" s="668" t="e">
        <f>((1+$B$7)^(E16/366))-1</f>
        <v>#VALUE!</v>
      </c>
      <c r="G16" s="668" t="e">
        <f>IF(D16&gt;183,D16-183,0)</f>
        <v>#VALUE!</v>
      </c>
      <c r="H16" s="668" t="e">
        <f t="shared" ref="H16:H18" si="28">(B16-$B$24)/183</f>
        <v>#VALUE!</v>
      </c>
      <c r="I16" s="695">
        <f ca="1">GBER!L27</f>
        <v>0</v>
      </c>
      <c r="J16" s="697" t="str">
        <f t="shared" ca="1" si="27"/>
        <v/>
      </c>
      <c r="K16" s="698">
        <f ca="1">GBER!J27</f>
        <v>0</v>
      </c>
      <c r="L16" s="679" t="str">
        <f t="shared" ref="L16" ca="1" si="29">IFERROR(K16*(1+$B$7)^(_xlfn.DAYS($B$24,B16)/366),"")</f>
        <v/>
      </c>
      <c r="R16" s="668" t="s">
        <v>1813</v>
      </c>
      <c r="S16" s="668">
        <f ca="1">+(S6*S8)-(S6*S14)</f>
        <v>0</v>
      </c>
      <c r="U16" s="668">
        <v>9</v>
      </c>
      <c r="V16" s="684">
        <f t="shared" ca="1" si="22"/>
        <v>0</v>
      </c>
      <c r="W16" s="685">
        <f t="shared" ca="1" si="0"/>
        <v>0</v>
      </c>
      <c r="X16" s="686">
        <f t="shared" ca="1" si="1"/>
        <v>0</v>
      </c>
      <c r="Y16" s="686">
        <f t="shared" ca="1" si="2"/>
        <v>0</v>
      </c>
      <c r="AB16" s="668" t="s">
        <v>1813</v>
      </c>
      <c r="AC16" s="681" t="e">
        <f ca="1">+(AC6*AC8)-(AC6*AC14)</f>
        <v>#VALUE!</v>
      </c>
      <c r="AE16" s="668">
        <v>9</v>
      </c>
      <c r="AF16" s="684" t="e">
        <f t="shared" ca="1" si="18"/>
        <v>#VALUE!</v>
      </c>
      <c r="AG16" s="685" t="e">
        <f t="shared" ca="1" si="3"/>
        <v>#VALUE!</v>
      </c>
      <c r="AH16" s="686" t="e">
        <f t="shared" ca="1" si="4"/>
        <v>#VALUE!</v>
      </c>
      <c r="AI16" s="686" t="e">
        <f t="shared" ca="1" si="5"/>
        <v>#VALUE!</v>
      </c>
      <c r="AL16" s="668" t="s">
        <v>1813</v>
      </c>
      <c r="AM16" s="681" t="e">
        <f ca="1">+(AM6*AM8)-(AM6*AM14)</f>
        <v>#VALUE!</v>
      </c>
      <c r="AO16" s="668">
        <v>9</v>
      </c>
      <c r="AP16" s="690" t="e">
        <f t="shared" ca="1" si="19"/>
        <v>#VALUE!</v>
      </c>
      <c r="AQ16" s="685" t="e">
        <f t="shared" ca="1" si="6"/>
        <v>#VALUE!</v>
      </c>
      <c r="AR16" s="686" t="e">
        <f t="shared" ca="1" si="7"/>
        <v>#VALUE!</v>
      </c>
      <c r="AS16" s="686" t="e">
        <f t="shared" ca="1" si="8"/>
        <v>#VALUE!</v>
      </c>
      <c r="AV16" s="668" t="s">
        <v>1813</v>
      </c>
      <c r="AW16" s="681" t="e">
        <f ca="1">+(AW6*AW8)-(AW6*AW14)</f>
        <v>#VALUE!</v>
      </c>
      <c r="AY16" s="668">
        <v>9</v>
      </c>
      <c r="AZ16" s="684" t="e">
        <f t="shared" ca="1" si="20"/>
        <v>#VALUE!</v>
      </c>
      <c r="BA16" s="685" t="e">
        <f t="shared" ca="1" si="9"/>
        <v>#VALUE!</v>
      </c>
      <c r="BB16" s="686" t="e">
        <f t="shared" ca="1" si="10"/>
        <v>#VALUE!</v>
      </c>
      <c r="BC16" s="686" t="e">
        <f t="shared" ca="1" si="11"/>
        <v>#VALUE!</v>
      </c>
      <c r="BF16" s="668" t="s">
        <v>1813</v>
      </c>
      <c r="BG16" s="681" t="e">
        <f ca="1">+(BG6*BG8)-(BG6*BG14)</f>
        <v>#VALUE!</v>
      </c>
      <c r="BI16" s="668">
        <v>9</v>
      </c>
      <c r="BJ16" s="684" t="e">
        <f t="shared" ca="1" si="21"/>
        <v>#VALUE!</v>
      </c>
      <c r="BK16" s="685" t="e">
        <f t="shared" ca="1" si="12"/>
        <v>#VALUE!</v>
      </c>
      <c r="BL16" s="686" t="e">
        <f t="shared" ca="1" si="13"/>
        <v>#VALUE!</v>
      </c>
      <c r="BM16" s="686" t="e">
        <f t="shared" ca="1" si="14"/>
        <v>#VALUE!</v>
      </c>
      <c r="BP16" s="668" t="s">
        <v>1813</v>
      </c>
      <c r="BQ16" s="681">
        <f ca="1">+(BQ6*BQ8)-(BQ6*BQ14)</f>
        <v>0</v>
      </c>
      <c r="BS16" s="668">
        <v>9</v>
      </c>
      <c r="BT16" s="684">
        <f t="shared" ca="1" si="23"/>
        <v>0</v>
      </c>
      <c r="BU16" s="685">
        <f t="shared" ca="1" si="15"/>
        <v>0</v>
      </c>
      <c r="BV16" s="686">
        <f t="shared" ca="1" si="16"/>
        <v>0</v>
      </c>
      <c r="BW16" s="686">
        <f t="shared" ca="1" si="17"/>
        <v>0</v>
      </c>
    </row>
    <row r="17" spans="1:75" ht="14.5" x14ac:dyDescent="0.35">
      <c r="A17" s="668" t="s">
        <v>1814</v>
      </c>
      <c r="B17" s="694" t="str">
        <f>GBER!H28</f>
        <v/>
      </c>
      <c r="C17" s="674"/>
      <c r="D17" s="696" t="e">
        <f>_xlfn.DAYS($B$23,B17)</f>
        <v>#VALUE!</v>
      </c>
      <c r="E17" s="668" t="e">
        <f t="shared" si="24"/>
        <v>#VALUE!</v>
      </c>
      <c r="F17" s="668" t="e">
        <f t="shared" si="25"/>
        <v>#VALUE!</v>
      </c>
      <c r="G17" s="668" t="e">
        <f t="shared" si="26"/>
        <v>#VALUE!</v>
      </c>
      <c r="H17" s="668" t="e">
        <f t="shared" si="28"/>
        <v>#VALUE!</v>
      </c>
      <c r="I17" s="695">
        <f ca="1">GBER!L28</f>
        <v>0</v>
      </c>
      <c r="J17" s="697" t="str">
        <f t="shared" ca="1" si="27"/>
        <v/>
      </c>
      <c r="K17" s="698">
        <f ca="1">GBER!J28</f>
        <v>0</v>
      </c>
      <c r="L17" s="679" t="str">
        <f ca="1">IFERROR(K17*(1+$B$7)^(_xlfn.DAYS($B$24,B17)/366),"")</f>
        <v/>
      </c>
      <c r="M17" s="668" t="s">
        <v>1815</v>
      </c>
      <c r="N17" s="705">
        <f>(N5/24)*2</f>
        <v>0</v>
      </c>
      <c r="R17" s="668" t="s">
        <v>1816</v>
      </c>
      <c r="S17" s="686">
        <f ca="1">PMT(S8,(S9*S11),-S6)</f>
        <v>0</v>
      </c>
      <c r="U17" s="668">
        <v>10</v>
      </c>
      <c r="V17" s="684">
        <f t="shared" ca="1" si="22"/>
        <v>0</v>
      </c>
      <c r="W17" s="685">
        <f t="shared" ca="1" si="0"/>
        <v>0</v>
      </c>
      <c r="X17" s="686">
        <f t="shared" ca="1" si="1"/>
        <v>0</v>
      </c>
      <c r="Y17" s="686">
        <f t="shared" ca="1" si="2"/>
        <v>0</v>
      </c>
      <c r="AB17" s="668" t="s">
        <v>1816</v>
      </c>
      <c r="AC17" s="686">
        <f ca="1">PMT(AC8,(AC9*AC11),-AC6)</f>
        <v>0</v>
      </c>
      <c r="AE17" s="668">
        <v>10</v>
      </c>
      <c r="AF17" s="684" t="e">
        <f t="shared" ca="1" si="18"/>
        <v>#VALUE!</v>
      </c>
      <c r="AG17" s="685" t="e">
        <f t="shared" ca="1" si="3"/>
        <v>#VALUE!</v>
      </c>
      <c r="AH17" s="686" t="e">
        <f t="shared" ca="1" si="4"/>
        <v>#VALUE!</v>
      </c>
      <c r="AI17" s="686" t="e">
        <f t="shared" ca="1" si="5"/>
        <v>#VALUE!</v>
      </c>
      <c r="AL17" s="668" t="s">
        <v>1816</v>
      </c>
      <c r="AM17" s="686">
        <f ca="1">PMT(AM8,(AM9*AM11),-AM6)</f>
        <v>0</v>
      </c>
      <c r="AO17" s="668">
        <v>10</v>
      </c>
      <c r="AP17" s="690" t="e">
        <f t="shared" ca="1" si="19"/>
        <v>#VALUE!</v>
      </c>
      <c r="AQ17" s="685" t="e">
        <f t="shared" ca="1" si="6"/>
        <v>#VALUE!</v>
      </c>
      <c r="AR17" s="686" t="e">
        <f t="shared" ca="1" si="7"/>
        <v>#VALUE!</v>
      </c>
      <c r="AS17" s="686" t="e">
        <f t="shared" ca="1" si="8"/>
        <v>#VALUE!</v>
      </c>
      <c r="AV17" s="668" t="s">
        <v>1816</v>
      </c>
      <c r="AW17" s="686">
        <f ca="1">PMT(AW8,(AW9*AW11),-AW6)</f>
        <v>0</v>
      </c>
      <c r="AY17" s="668">
        <v>10</v>
      </c>
      <c r="AZ17" s="684" t="e">
        <f t="shared" ca="1" si="20"/>
        <v>#VALUE!</v>
      </c>
      <c r="BA17" s="685" t="e">
        <f t="shared" ca="1" si="9"/>
        <v>#VALUE!</v>
      </c>
      <c r="BB17" s="686" t="e">
        <f t="shared" ca="1" si="10"/>
        <v>#VALUE!</v>
      </c>
      <c r="BC17" s="686" t="e">
        <f t="shared" ca="1" si="11"/>
        <v>#VALUE!</v>
      </c>
      <c r="BF17" s="668" t="s">
        <v>1816</v>
      </c>
      <c r="BG17" s="686">
        <f ca="1">PMT(BG8,(BG9*BG11),-BG6)</f>
        <v>0</v>
      </c>
      <c r="BI17" s="668">
        <v>10</v>
      </c>
      <c r="BJ17" s="684" t="e">
        <f t="shared" ca="1" si="21"/>
        <v>#VALUE!</v>
      </c>
      <c r="BK17" s="685" t="e">
        <f t="shared" ca="1" si="12"/>
        <v>#VALUE!</v>
      </c>
      <c r="BL17" s="686" t="e">
        <f t="shared" ca="1" si="13"/>
        <v>#VALUE!</v>
      </c>
      <c r="BM17" s="686" t="e">
        <f t="shared" ca="1" si="14"/>
        <v>#VALUE!</v>
      </c>
      <c r="BP17" s="668" t="s">
        <v>1816</v>
      </c>
      <c r="BQ17" s="686">
        <f ca="1">PMT(BQ8,(BQ9*BQ11),-BQ6)</f>
        <v>0</v>
      </c>
      <c r="BS17" s="668">
        <v>10</v>
      </c>
      <c r="BT17" s="684">
        <f t="shared" ca="1" si="23"/>
        <v>0</v>
      </c>
      <c r="BU17" s="685">
        <f t="shared" ca="1" si="15"/>
        <v>0</v>
      </c>
      <c r="BV17" s="686">
        <f t="shared" ca="1" si="16"/>
        <v>0</v>
      </c>
      <c r="BW17" s="686">
        <f t="shared" ca="1" si="17"/>
        <v>0</v>
      </c>
    </row>
    <row r="18" spans="1:75" ht="14.5" x14ac:dyDescent="0.35">
      <c r="A18" s="750" t="s">
        <v>1817</v>
      </c>
      <c r="B18" s="716"/>
      <c r="C18" s="750"/>
      <c r="D18" s="751">
        <f>_xlfn.DAYS($B$23,B18)</f>
        <v>335</v>
      </c>
      <c r="E18" s="752">
        <f t="shared" si="24"/>
        <v>183</v>
      </c>
      <c r="F18" s="750">
        <f t="shared" si="25"/>
        <v>4.9875621120889502E-3</v>
      </c>
      <c r="G18" s="750">
        <f t="shared" si="26"/>
        <v>152</v>
      </c>
      <c r="H18" s="750">
        <f t="shared" si="28"/>
        <v>0</v>
      </c>
      <c r="I18" s="753"/>
      <c r="J18" s="754">
        <f t="shared" si="27"/>
        <v>0</v>
      </c>
      <c r="K18" s="753"/>
      <c r="L18" s="755">
        <f t="shared" ref="L18" si="30">K18*(1+$B$7)^(_xlfn.DAYS($B$24,B18)/366)</f>
        <v>0</v>
      </c>
      <c r="M18" s="668" t="s">
        <v>1790</v>
      </c>
      <c r="N18" s="707">
        <f ca="1">((1+B6)^(1/2))-1</f>
        <v>4.9875621120889502E-3</v>
      </c>
      <c r="R18" s="668" t="s">
        <v>1818</v>
      </c>
      <c r="S18" s="708">
        <f ca="1">S17-(((NPV(S8,S16)))/S13)</f>
        <v>0</v>
      </c>
      <c r="T18" s="686">
        <f ca="1">(S6-(NPV(S8,S16)))/S13</f>
        <v>0</v>
      </c>
      <c r="U18" s="668">
        <v>11</v>
      </c>
      <c r="V18" s="684">
        <f t="shared" ca="1" si="22"/>
        <v>0</v>
      </c>
      <c r="W18" s="685">
        <f t="shared" ca="1" si="0"/>
        <v>0</v>
      </c>
      <c r="X18" s="686">
        <f t="shared" ca="1" si="1"/>
        <v>0</v>
      </c>
      <c r="Y18" s="686">
        <f t="shared" ca="1" si="2"/>
        <v>0</v>
      </c>
      <c r="AB18" s="668" t="s">
        <v>1818</v>
      </c>
      <c r="AC18" s="686" t="e">
        <f ca="1">AC17-(((NPV(AC8,AC16)))/AC13)</f>
        <v>#VALUE!</v>
      </c>
      <c r="AD18" s="668" t="e">
        <f ca="1">(AC6-(NPV(AC8,AC16)))/AC13</f>
        <v>#VALUE!</v>
      </c>
      <c r="AE18" s="668">
        <v>11</v>
      </c>
      <c r="AF18" s="684" t="e">
        <f t="shared" ca="1" si="18"/>
        <v>#VALUE!</v>
      </c>
      <c r="AG18" s="685" t="e">
        <f t="shared" ca="1" si="3"/>
        <v>#VALUE!</v>
      </c>
      <c r="AH18" s="686" t="e">
        <f t="shared" ca="1" si="4"/>
        <v>#VALUE!</v>
      </c>
      <c r="AI18" s="686" t="e">
        <f t="shared" ca="1" si="5"/>
        <v>#VALUE!</v>
      </c>
      <c r="AL18" s="668" t="s">
        <v>1818</v>
      </c>
      <c r="AM18" s="686" t="e">
        <f ca="1">AM17-(((NPV(AM8,AM16)))/AM13)</f>
        <v>#VALUE!</v>
      </c>
      <c r="AN18" s="668" t="e">
        <f ca="1">(AM6-(NPV(AM8,AM16)))/AM13</f>
        <v>#VALUE!</v>
      </c>
      <c r="AO18" s="668">
        <v>11</v>
      </c>
      <c r="AP18" s="690" t="e">
        <f t="shared" ca="1" si="19"/>
        <v>#VALUE!</v>
      </c>
      <c r="AQ18" s="685" t="e">
        <f ca="1">$AM$18</f>
        <v>#VALUE!</v>
      </c>
      <c r="AR18" s="686" t="e">
        <f t="shared" ca="1" si="7"/>
        <v>#VALUE!</v>
      </c>
      <c r="AS18" s="686" t="e">
        <f t="shared" ca="1" si="8"/>
        <v>#VALUE!</v>
      </c>
      <c r="AV18" s="668" t="s">
        <v>1818</v>
      </c>
      <c r="AW18" s="686" t="e">
        <f ca="1">AW17-(((NPV(AW8,AW16)))/AW13)</f>
        <v>#VALUE!</v>
      </c>
      <c r="AX18" s="668" t="e">
        <f ca="1">(AW6-(NPV(AW8,AW16)))/AW13</f>
        <v>#VALUE!</v>
      </c>
      <c r="AY18" s="668">
        <v>11</v>
      </c>
      <c r="AZ18" s="684" t="e">
        <f t="shared" ca="1" si="20"/>
        <v>#VALUE!</v>
      </c>
      <c r="BA18" s="685" t="e">
        <f t="shared" ca="1" si="9"/>
        <v>#VALUE!</v>
      </c>
      <c r="BB18" s="686" t="e">
        <f t="shared" ca="1" si="10"/>
        <v>#VALUE!</v>
      </c>
      <c r="BC18" s="686" t="e">
        <f t="shared" ca="1" si="11"/>
        <v>#VALUE!</v>
      </c>
      <c r="BF18" s="668" t="s">
        <v>1818</v>
      </c>
      <c r="BG18" s="686" t="e">
        <f ca="1">BG17-(((NPV(BG8,BG16)))/BG13)</f>
        <v>#VALUE!</v>
      </c>
      <c r="BH18" s="668" t="e">
        <f ca="1">(BG6-(NPV(BG8,BG16)))/BG13</f>
        <v>#VALUE!</v>
      </c>
      <c r="BI18" s="668">
        <v>11</v>
      </c>
      <c r="BJ18" s="684" t="e">
        <f t="shared" ca="1" si="21"/>
        <v>#VALUE!</v>
      </c>
      <c r="BK18" s="685" t="e">
        <f t="shared" ca="1" si="12"/>
        <v>#VALUE!</v>
      </c>
      <c r="BL18" s="686" t="e">
        <f t="shared" ca="1" si="13"/>
        <v>#VALUE!</v>
      </c>
      <c r="BM18" s="686" t="e">
        <f t="shared" ca="1" si="14"/>
        <v>#VALUE!</v>
      </c>
      <c r="BP18" s="668" t="s">
        <v>1818</v>
      </c>
      <c r="BQ18" s="686">
        <f ca="1">BQ17-(((NPV(BQ8,BQ16)))/BQ13)</f>
        <v>0</v>
      </c>
      <c r="BR18" s="668">
        <f ca="1">(BQ6-(NPV(BQ8,BQ16)))/BQ13</f>
        <v>0</v>
      </c>
      <c r="BS18" s="668">
        <v>11</v>
      </c>
      <c r="BT18" s="684">
        <f t="shared" ca="1" si="23"/>
        <v>0</v>
      </c>
      <c r="BU18" s="685">
        <f t="shared" ca="1" si="15"/>
        <v>0</v>
      </c>
      <c r="BV18" s="686">
        <f t="shared" ca="1" si="16"/>
        <v>0</v>
      </c>
      <c r="BW18" s="686">
        <f t="shared" ca="1" si="17"/>
        <v>0</v>
      </c>
    </row>
    <row r="19" spans="1:75" ht="14.5" x14ac:dyDescent="0.35">
      <c r="C19" s="668" t="e">
        <f ca="1">C13/I13</f>
        <v>#DIV/0!</v>
      </c>
      <c r="M19" s="668" t="s">
        <v>1786</v>
      </c>
      <c r="N19" s="707">
        <f>((1+B7)^(1/2))-1</f>
        <v>4.9875621120889502E-3</v>
      </c>
      <c r="S19" s="686"/>
      <c r="U19" s="668">
        <v>12</v>
      </c>
      <c r="V19" s="684">
        <f t="shared" ca="1" si="22"/>
        <v>0</v>
      </c>
      <c r="W19" s="685">
        <f t="shared" ca="1" si="0"/>
        <v>0</v>
      </c>
      <c r="X19" s="686">
        <f t="shared" ca="1" si="1"/>
        <v>0</v>
      </c>
      <c r="Y19" s="686">
        <f t="shared" ca="1" si="2"/>
        <v>0</v>
      </c>
      <c r="AC19" s="686"/>
      <c r="AE19" s="668">
        <v>12</v>
      </c>
      <c r="AF19" s="684" t="e">
        <f t="shared" ca="1" si="18"/>
        <v>#VALUE!</v>
      </c>
      <c r="AG19" s="685" t="e">
        <f ca="1">$AC$18</f>
        <v>#VALUE!</v>
      </c>
      <c r="AH19" s="686" t="e">
        <f t="shared" ca="1" si="4"/>
        <v>#VALUE!</v>
      </c>
      <c r="AI19" s="686" t="e">
        <f t="shared" ca="1" si="5"/>
        <v>#VALUE!</v>
      </c>
      <c r="AM19" s="686"/>
      <c r="AO19" s="668">
        <v>12</v>
      </c>
      <c r="AP19" s="690" t="e">
        <f t="shared" ca="1" si="19"/>
        <v>#VALUE!</v>
      </c>
      <c r="AQ19" s="685" t="e">
        <f t="shared" ca="1" si="6"/>
        <v>#VALUE!</v>
      </c>
      <c r="AR19" s="686" t="e">
        <f t="shared" ca="1" si="7"/>
        <v>#VALUE!</v>
      </c>
      <c r="AS19" s="686" t="e">
        <f t="shared" ca="1" si="8"/>
        <v>#VALUE!</v>
      </c>
      <c r="AW19" s="686"/>
      <c r="AY19" s="668">
        <v>12</v>
      </c>
      <c r="AZ19" s="684" t="e">
        <f t="shared" ca="1" si="20"/>
        <v>#VALUE!</v>
      </c>
      <c r="BA19" s="685" t="e">
        <f t="shared" ca="1" si="9"/>
        <v>#VALUE!</v>
      </c>
      <c r="BB19" s="686" t="e">
        <f t="shared" ca="1" si="10"/>
        <v>#VALUE!</v>
      </c>
      <c r="BC19" s="686" t="e">
        <f t="shared" ca="1" si="11"/>
        <v>#VALUE!</v>
      </c>
      <c r="BG19" s="686"/>
      <c r="BI19" s="668">
        <v>12</v>
      </c>
      <c r="BJ19" s="684" t="e">
        <f t="shared" ca="1" si="21"/>
        <v>#VALUE!</v>
      </c>
      <c r="BK19" s="685" t="e">
        <f t="shared" ca="1" si="12"/>
        <v>#VALUE!</v>
      </c>
      <c r="BL19" s="686" t="e">
        <f t="shared" ca="1" si="13"/>
        <v>#VALUE!</v>
      </c>
      <c r="BM19" s="686" t="e">
        <f t="shared" ca="1" si="14"/>
        <v>#VALUE!</v>
      </c>
      <c r="BQ19" s="686"/>
      <c r="BS19" s="668">
        <v>12</v>
      </c>
      <c r="BT19" s="684">
        <f t="shared" ca="1" si="23"/>
        <v>0</v>
      </c>
      <c r="BU19" s="685">
        <f t="shared" ca="1" si="15"/>
        <v>0</v>
      </c>
      <c r="BV19" s="686">
        <f t="shared" ca="1" si="16"/>
        <v>0</v>
      </c>
      <c r="BW19" s="686">
        <f t="shared" ca="1" si="17"/>
        <v>0</v>
      </c>
    </row>
    <row r="20" spans="1:75" ht="14.5" x14ac:dyDescent="0.35">
      <c r="A20" s="668" t="s">
        <v>1819</v>
      </c>
      <c r="B20" s="709">
        <v>1</v>
      </c>
      <c r="M20" s="668" t="s">
        <v>1791</v>
      </c>
      <c r="N20" s="668">
        <v>10</v>
      </c>
      <c r="R20" s="668" t="s">
        <v>1820</v>
      </c>
      <c r="S20" s="668">
        <f>G13/183</f>
        <v>0.8306010928961749</v>
      </c>
      <c r="T20" s="710"/>
      <c r="U20" s="668">
        <v>13</v>
      </c>
      <c r="V20" s="684">
        <f t="shared" ca="1" si="22"/>
        <v>0</v>
      </c>
      <c r="W20" s="685">
        <f t="shared" ca="1" si="0"/>
        <v>0</v>
      </c>
      <c r="X20" s="686">
        <f t="shared" ca="1" si="1"/>
        <v>0</v>
      </c>
      <c r="Y20" s="686">
        <f t="shared" ca="1" si="2"/>
        <v>0</v>
      </c>
      <c r="AB20" s="668" t="s">
        <v>1820</v>
      </c>
      <c r="AC20" s="668" t="e">
        <f>G14/183</f>
        <v>#VALUE!</v>
      </c>
      <c r="AD20" s="710"/>
      <c r="AE20" s="668">
        <v>13</v>
      </c>
      <c r="AF20" s="684" t="e">
        <f t="shared" ca="1" si="18"/>
        <v>#VALUE!</v>
      </c>
      <c r="AG20" s="685" t="e">
        <f t="shared" ca="1" si="3"/>
        <v>#VALUE!</v>
      </c>
      <c r="AH20" s="686" t="e">
        <f t="shared" ca="1" si="4"/>
        <v>#VALUE!</v>
      </c>
      <c r="AI20" s="686" t="e">
        <f t="shared" ca="1" si="5"/>
        <v>#VALUE!</v>
      </c>
      <c r="AL20" s="668" t="s">
        <v>1820</v>
      </c>
      <c r="AM20" s="668" t="e">
        <f>G15/183</f>
        <v>#VALUE!</v>
      </c>
      <c r="AN20" s="710"/>
      <c r="AO20" s="668">
        <v>13</v>
      </c>
      <c r="AP20" s="690" t="e">
        <f t="shared" ca="1" si="19"/>
        <v>#VALUE!</v>
      </c>
      <c r="AQ20" s="685" t="e">
        <f t="shared" ca="1" si="6"/>
        <v>#VALUE!</v>
      </c>
      <c r="AR20" s="686" t="e">
        <f t="shared" ca="1" si="7"/>
        <v>#VALUE!</v>
      </c>
      <c r="AS20" s="686" t="e">
        <f t="shared" ca="1" si="8"/>
        <v>#VALUE!</v>
      </c>
      <c r="AV20" s="668" t="s">
        <v>1820</v>
      </c>
      <c r="AW20" s="668" t="e">
        <f>G16/183</f>
        <v>#VALUE!</v>
      </c>
      <c r="AX20" s="710"/>
      <c r="AY20" s="668">
        <v>13</v>
      </c>
      <c r="AZ20" s="684" t="e">
        <f t="shared" ca="1" si="20"/>
        <v>#VALUE!</v>
      </c>
      <c r="BA20" s="685" t="e">
        <f ca="1">$AW$18</f>
        <v>#VALUE!</v>
      </c>
      <c r="BB20" s="686" t="e">
        <f t="shared" ca="1" si="10"/>
        <v>#VALUE!</v>
      </c>
      <c r="BC20" s="686" t="e">
        <f t="shared" ca="1" si="11"/>
        <v>#VALUE!</v>
      </c>
      <c r="BF20" s="668" t="s">
        <v>1820</v>
      </c>
      <c r="BG20" s="668" t="e">
        <f>G17/183</f>
        <v>#VALUE!</v>
      </c>
      <c r="BH20" s="710"/>
      <c r="BI20" s="668">
        <v>13</v>
      </c>
      <c r="BJ20" s="684" t="e">
        <f t="shared" ca="1" si="21"/>
        <v>#VALUE!</v>
      </c>
      <c r="BK20" s="685" t="e">
        <f ca="1">$BG$18</f>
        <v>#VALUE!</v>
      </c>
      <c r="BL20" s="686" t="e">
        <f t="shared" ca="1" si="13"/>
        <v>#VALUE!</v>
      </c>
      <c r="BM20" s="686" t="e">
        <f t="shared" ca="1" si="14"/>
        <v>#VALUE!</v>
      </c>
      <c r="BP20" s="668" t="s">
        <v>1820</v>
      </c>
      <c r="BQ20" s="668">
        <f>G18/183</f>
        <v>0.8306010928961749</v>
      </c>
      <c r="BR20" s="710"/>
      <c r="BS20" s="668">
        <v>13</v>
      </c>
      <c r="BT20" s="684">
        <f t="shared" ca="1" si="23"/>
        <v>0</v>
      </c>
      <c r="BU20" s="685">
        <f t="shared" ca="1" si="15"/>
        <v>0</v>
      </c>
      <c r="BV20" s="686">
        <f t="shared" ca="1" si="16"/>
        <v>0</v>
      </c>
      <c r="BW20" s="686">
        <f t="shared" ca="1" si="17"/>
        <v>0</v>
      </c>
    </row>
    <row r="21" spans="1:75" ht="14.5" x14ac:dyDescent="0.35">
      <c r="M21" s="691" t="s">
        <v>542</v>
      </c>
      <c r="N21" s="711">
        <f>$N$20+$N$17</f>
        <v>10</v>
      </c>
      <c r="U21" s="668">
        <v>14</v>
      </c>
      <c r="V21" s="684">
        <f t="shared" ca="1" si="22"/>
        <v>0</v>
      </c>
      <c r="W21" s="685">
        <f ca="1">$S$18</f>
        <v>0</v>
      </c>
      <c r="X21" s="686">
        <f t="shared" ca="1" si="1"/>
        <v>0</v>
      </c>
      <c r="Y21" s="686">
        <f t="shared" ca="1" si="2"/>
        <v>0</v>
      </c>
      <c r="AE21" s="668">
        <v>14</v>
      </c>
      <c r="AF21" s="684" t="e">
        <f t="shared" ca="1" si="18"/>
        <v>#VALUE!</v>
      </c>
      <c r="AG21" s="685" t="e">
        <f t="shared" ca="1" si="3"/>
        <v>#VALUE!</v>
      </c>
      <c r="AH21" s="686" t="e">
        <f t="shared" ca="1" si="4"/>
        <v>#VALUE!</v>
      </c>
      <c r="AI21" s="686" t="e">
        <f t="shared" ca="1" si="5"/>
        <v>#VALUE!</v>
      </c>
      <c r="AO21" s="668">
        <v>14</v>
      </c>
      <c r="AP21" s="690" t="e">
        <f t="shared" ca="1" si="19"/>
        <v>#VALUE!</v>
      </c>
      <c r="AQ21" s="685" t="e">
        <f t="shared" ca="1" si="6"/>
        <v>#VALUE!</v>
      </c>
      <c r="AR21" s="686" t="e">
        <f t="shared" ca="1" si="7"/>
        <v>#VALUE!</v>
      </c>
      <c r="AS21" s="686" t="e">
        <f t="shared" ca="1" si="8"/>
        <v>#VALUE!</v>
      </c>
      <c r="AY21" s="668">
        <v>14</v>
      </c>
      <c r="AZ21" s="684" t="e">
        <f t="shared" ca="1" si="20"/>
        <v>#VALUE!</v>
      </c>
      <c r="BA21" s="685" t="e">
        <f t="shared" ca="1" si="9"/>
        <v>#VALUE!</v>
      </c>
      <c r="BB21" s="686" t="e">
        <f t="shared" ca="1" si="10"/>
        <v>#VALUE!</v>
      </c>
      <c r="BC21" s="686" t="e">
        <f t="shared" ca="1" si="11"/>
        <v>#VALUE!</v>
      </c>
      <c r="BI21" s="668">
        <v>14</v>
      </c>
      <c r="BJ21" s="684" t="e">
        <f t="shared" ca="1" si="21"/>
        <v>#VALUE!</v>
      </c>
      <c r="BK21" s="685" t="e">
        <f t="shared" ca="1" si="12"/>
        <v>#VALUE!</v>
      </c>
      <c r="BL21" s="686" t="e">
        <f t="shared" ca="1" si="13"/>
        <v>#VALUE!</v>
      </c>
      <c r="BM21" s="686" t="e">
        <f t="shared" ca="1" si="14"/>
        <v>#VALUE!</v>
      </c>
      <c r="BS21" s="668">
        <v>14</v>
      </c>
      <c r="BT21" s="684">
        <f t="shared" ca="1" si="23"/>
        <v>0</v>
      </c>
      <c r="BU21" s="685">
        <f t="shared" ca="1" si="15"/>
        <v>0</v>
      </c>
      <c r="BV21" s="686">
        <f t="shared" ca="1" si="16"/>
        <v>0</v>
      </c>
      <c r="BW21" s="686">
        <f t="shared" ca="1" si="17"/>
        <v>0</v>
      </c>
    </row>
    <row r="22" spans="1:75" ht="14.5" x14ac:dyDescent="0.35">
      <c r="M22" s="691" t="s">
        <v>1794</v>
      </c>
      <c r="N22" s="712">
        <v>2</v>
      </c>
      <c r="R22" s="668" t="s">
        <v>1821</v>
      </c>
      <c r="S22" s="703">
        <f>((1+S7)^S20)-1</f>
        <v>4.1409278872530653E-3</v>
      </c>
      <c r="U22" s="668">
        <v>15</v>
      </c>
      <c r="V22" s="684">
        <f t="shared" ca="1" si="22"/>
        <v>0</v>
      </c>
      <c r="W22" s="685">
        <f t="shared" ca="1" si="0"/>
        <v>0</v>
      </c>
      <c r="X22" s="686">
        <f t="shared" ca="1" si="1"/>
        <v>0</v>
      </c>
      <c r="Y22" s="686">
        <f t="shared" ca="1" si="2"/>
        <v>0</v>
      </c>
      <c r="AB22" s="668" t="s">
        <v>1821</v>
      </c>
      <c r="AC22" s="703" t="e">
        <f>((1+AC7)^AC20)-1</f>
        <v>#VALUE!</v>
      </c>
      <c r="AE22" s="668">
        <v>15</v>
      </c>
      <c r="AF22" s="684" t="e">
        <f t="shared" ca="1" si="18"/>
        <v>#VALUE!</v>
      </c>
      <c r="AG22" s="685" t="e">
        <f t="shared" ca="1" si="3"/>
        <v>#VALUE!</v>
      </c>
      <c r="AH22" s="686" t="e">
        <f t="shared" ca="1" si="4"/>
        <v>#VALUE!</v>
      </c>
      <c r="AI22" s="686" t="e">
        <f t="shared" ca="1" si="5"/>
        <v>#VALUE!</v>
      </c>
      <c r="AL22" s="668" t="s">
        <v>1821</v>
      </c>
      <c r="AM22" s="703" t="e">
        <f>((1+AM7)^AM20)-1</f>
        <v>#VALUE!</v>
      </c>
      <c r="AO22" s="668">
        <v>15</v>
      </c>
      <c r="AP22" s="690" t="e">
        <f t="shared" ca="1" si="19"/>
        <v>#VALUE!</v>
      </c>
      <c r="AQ22" s="685" t="e">
        <f t="shared" ca="1" si="6"/>
        <v>#VALUE!</v>
      </c>
      <c r="AR22" s="686" t="e">
        <f t="shared" ca="1" si="7"/>
        <v>#VALUE!</v>
      </c>
      <c r="AS22" s="686" t="e">
        <f t="shared" ca="1" si="8"/>
        <v>#VALUE!</v>
      </c>
      <c r="AV22" s="668" t="s">
        <v>1821</v>
      </c>
      <c r="AW22" s="703" t="e">
        <f>((1+AW7)^AW20)-1</f>
        <v>#VALUE!</v>
      </c>
      <c r="AY22" s="668">
        <v>15</v>
      </c>
      <c r="AZ22" s="684" t="e">
        <f t="shared" ca="1" si="20"/>
        <v>#VALUE!</v>
      </c>
      <c r="BA22" s="685" t="e">
        <f t="shared" ca="1" si="9"/>
        <v>#VALUE!</v>
      </c>
      <c r="BB22" s="686" t="e">
        <f t="shared" ca="1" si="10"/>
        <v>#VALUE!</v>
      </c>
      <c r="BC22" s="686" t="e">
        <f t="shared" ca="1" si="11"/>
        <v>#VALUE!</v>
      </c>
      <c r="BF22" s="668" t="s">
        <v>1821</v>
      </c>
      <c r="BG22" s="703" t="e">
        <f>((1+BG7)^BG20)-1</f>
        <v>#VALUE!</v>
      </c>
      <c r="BI22" s="668">
        <v>15</v>
      </c>
      <c r="BJ22" s="684" t="e">
        <f t="shared" ca="1" si="21"/>
        <v>#VALUE!</v>
      </c>
      <c r="BK22" s="685" t="e">
        <f t="shared" ca="1" si="12"/>
        <v>#VALUE!</v>
      </c>
      <c r="BL22" s="686" t="e">
        <f t="shared" ca="1" si="13"/>
        <v>#VALUE!</v>
      </c>
      <c r="BM22" s="686" t="e">
        <f t="shared" ca="1" si="14"/>
        <v>#VALUE!</v>
      </c>
      <c r="BP22" s="668" t="s">
        <v>1821</v>
      </c>
      <c r="BQ22" s="703">
        <f>((1+BQ7)^BQ20)-1</f>
        <v>4.1409278872530653E-3</v>
      </c>
      <c r="BS22" s="668">
        <v>15</v>
      </c>
      <c r="BT22" s="684">
        <f t="shared" ca="1" si="23"/>
        <v>0</v>
      </c>
      <c r="BU22" s="685">
        <f t="shared" ca="1" si="15"/>
        <v>0</v>
      </c>
      <c r="BV22" s="686">
        <f t="shared" ca="1" si="16"/>
        <v>0</v>
      </c>
      <c r="BW22" s="686">
        <f t="shared" ca="1" si="17"/>
        <v>0</v>
      </c>
    </row>
    <row r="23" spans="1:75" ht="14.5" x14ac:dyDescent="0.35">
      <c r="A23" s="668" t="s">
        <v>1822</v>
      </c>
      <c r="B23" s="713">
        <f>I39</f>
        <v>335</v>
      </c>
      <c r="C23" s="714">
        <v>43616</v>
      </c>
      <c r="D23" s="668">
        <f>+_xlfn.DAYS(C24,C23)</f>
        <v>183</v>
      </c>
      <c r="E23" s="714"/>
      <c r="F23" s="714"/>
      <c r="M23" s="691"/>
      <c r="N23" s="712"/>
      <c r="U23" s="668">
        <v>16</v>
      </c>
      <c r="V23" s="684">
        <f t="shared" ca="1" si="22"/>
        <v>0</v>
      </c>
      <c r="W23" s="685">
        <f t="shared" ca="1" si="0"/>
        <v>0</v>
      </c>
      <c r="X23" s="686">
        <f t="shared" ca="1" si="1"/>
        <v>0</v>
      </c>
      <c r="Y23" s="686">
        <f t="shared" ca="1" si="2"/>
        <v>0</v>
      </c>
      <c r="AE23" s="668">
        <v>16</v>
      </c>
      <c r="AF23" s="684" t="e">
        <f t="shared" ca="1" si="18"/>
        <v>#VALUE!</v>
      </c>
      <c r="AG23" s="685" t="e">
        <f t="shared" ca="1" si="3"/>
        <v>#VALUE!</v>
      </c>
      <c r="AH23" s="715" t="e">
        <f ca="1">AH22-AI23</f>
        <v>#VALUE!</v>
      </c>
      <c r="AI23" s="686" t="e">
        <f t="shared" ca="1" si="5"/>
        <v>#VALUE!</v>
      </c>
      <c r="AO23" s="668">
        <v>16</v>
      </c>
      <c r="AP23" s="690" t="e">
        <f t="shared" ca="1" si="19"/>
        <v>#VALUE!</v>
      </c>
      <c r="AQ23" s="685" t="e">
        <f t="shared" ca="1" si="6"/>
        <v>#VALUE!</v>
      </c>
      <c r="AR23" s="715" t="e">
        <f ca="1">AR22-AS23</f>
        <v>#VALUE!</v>
      </c>
      <c r="AS23" s="686" t="e">
        <f t="shared" ca="1" si="8"/>
        <v>#VALUE!</v>
      </c>
      <c r="AY23" s="668">
        <v>16</v>
      </c>
      <c r="AZ23" s="684" t="e">
        <f t="shared" ca="1" si="20"/>
        <v>#VALUE!</v>
      </c>
      <c r="BA23" s="685" t="e">
        <f t="shared" ca="1" si="9"/>
        <v>#VALUE!</v>
      </c>
      <c r="BB23" s="715" t="e">
        <f ca="1">BB22-BC23</f>
        <v>#VALUE!</v>
      </c>
      <c r="BC23" s="686" t="e">
        <f t="shared" ca="1" si="11"/>
        <v>#VALUE!</v>
      </c>
      <c r="BI23" s="668">
        <v>16</v>
      </c>
      <c r="BJ23" s="684" t="e">
        <f t="shared" ca="1" si="21"/>
        <v>#VALUE!</v>
      </c>
      <c r="BK23" s="685" t="e">
        <f t="shared" ca="1" si="12"/>
        <v>#VALUE!</v>
      </c>
      <c r="BL23" s="715" t="e">
        <f ca="1">BL22-BM23</f>
        <v>#VALUE!</v>
      </c>
      <c r="BM23" s="686" t="e">
        <f t="shared" ca="1" si="14"/>
        <v>#VALUE!</v>
      </c>
      <c r="BS23" s="668">
        <v>16</v>
      </c>
      <c r="BT23" s="684">
        <f t="shared" ca="1" si="23"/>
        <v>0</v>
      </c>
      <c r="BU23" s="685">
        <f t="shared" ca="1" si="15"/>
        <v>0</v>
      </c>
      <c r="BV23" s="715">
        <f ca="1">BV22-BW23</f>
        <v>0</v>
      </c>
      <c r="BW23" s="686">
        <f t="shared" ca="1" si="17"/>
        <v>0</v>
      </c>
    </row>
    <row r="24" spans="1:75" ht="14.5" x14ac:dyDescent="0.35">
      <c r="A24" s="668" t="s">
        <v>1823</v>
      </c>
      <c r="B24" s="716">
        <f>B40</f>
        <v>0</v>
      </c>
      <c r="C24" s="714">
        <v>43799</v>
      </c>
      <c r="D24" s="668">
        <f>+_xlfn.DAYS(C23,C24)</f>
        <v>-183</v>
      </c>
      <c r="E24" s="714"/>
      <c r="F24" s="714"/>
      <c r="M24" s="717" t="s">
        <v>543</v>
      </c>
      <c r="N24" s="718">
        <f>$G$40</f>
        <v>1900</v>
      </c>
      <c r="R24" s="668" t="s">
        <v>1824</v>
      </c>
      <c r="S24" s="668">
        <f ca="1">S8*S6</f>
        <v>0</v>
      </c>
      <c r="U24" s="700">
        <v>17</v>
      </c>
      <c r="V24" s="719">
        <f t="shared" ca="1" si="22"/>
        <v>0</v>
      </c>
      <c r="W24" s="720">
        <f t="shared" ca="1" si="0"/>
        <v>0</v>
      </c>
      <c r="X24" s="721">
        <f t="shared" ca="1" si="1"/>
        <v>0</v>
      </c>
      <c r="Y24" s="721">
        <f t="shared" ca="1" si="2"/>
        <v>0</v>
      </c>
      <c r="AB24" s="668" t="s">
        <v>1824</v>
      </c>
      <c r="AC24" s="722">
        <f ca="1">AC8*AC6</f>
        <v>0</v>
      </c>
      <c r="AE24" s="700">
        <v>17</v>
      </c>
      <c r="AF24" s="719" t="e">
        <f ca="1">AH23*(($AC$8))</f>
        <v>#VALUE!</v>
      </c>
      <c r="AG24" s="720" t="e">
        <f t="shared" ca="1" si="3"/>
        <v>#VALUE!</v>
      </c>
      <c r="AH24" s="721" t="e">
        <f t="shared" ca="1" si="4"/>
        <v>#VALUE!</v>
      </c>
      <c r="AI24" s="721" t="e">
        <f t="shared" ca="1" si="5"/>
        <v>#VALUE!</v>
      </c>
      <c r="AL24" s="668" t="s">
        <v>1824</v>
      </c>
      <c r="AM24" s="668">
        <f ca="1">AM8*AM6</f>
        <v>0</v>
      </c>
      <c r="AO24" s="700">
        <v>17</v>
      </c>
      <c r="AP24" s="690" t="e">
        <f t="shared" ca="1" si="19"/>
        <v>#VALUE!</v>
      </c>
      <c r="AQ24" s="685" t="e">
        <f t="shared" ca="1" si="6"/>
        <v>#VALUE!</v>
      </c>
      <c r="AR24" s="721" t="e">
        <f ca="1">AR23-AS24</f>
        <v>#VALUE!</v>
      </c>
      <c r="AS24" s="721" t="e">
        <f t="shared" ca="1" si="8"/>
        <v>#VALUE!</v>
      </c>
      <c r="AV24" s="668" t="s">
        <v>1824</v>
      </c>
      <c r="AW24" s="668">
        <f ca="1">AW8*AW6</f>
        <v>0</v>
      </c>
      <c r="AY24" s="700">
        <v>17</v>
      </c>
      <c r="AZ24" s="684" t="e">
        <f t="shared" ca="1" si="20"/>
        <v>#VALUE!</v>
      </c>
      <c r="BA24" s="685" t="e">
        <f t="shared" ca="1" si="9"/>
        <v>#VALUE!</v>
      </c>
      <c r="BB24" s="721" t="e">
        <f ca="1">BB23-BC24</f>
        <v>#VALUE!</v>
      </c>
      <c r="BC24" s="721" t="e">
        <f t="shared" ca="1" si="11"/>
        <v>#VALUE!</v>
      </c>
      <c r="BF24" s="668" t="s">
        <v>1824</v>
      </c>
      <c r="BG24" s="668">
        <f ca="1">BG8*BG6</f>
        <v>0</v>
      </c>
      <c r="BI24" s="700">
        <v>17</v>
      </c>
      <c r="BJ24" s="684" t="e">
        <f t="shared" ca="1" si="21"/>
        <v>#VALUE!</v>
      </c>
      <c r="BK24" s="685" t="e">
        <f t="shared" ca="1" si="12"/>
        <v>#VALUE!</v>
      </c>
      <c r="BL24" s="721" t="e">
        <f ca="1">BL23-BM24</f>
        <v>#VALUE!</v>
      </c>
      <c r="BM24" s="721" t="e">
        <f t="shared" ca="1" si="14"/>
        <v>#VALUE!</v>
      </c>
      <c r="BP24" s="668" t="s">
        <v>1824</v>
      </c>
      <c r="BQ24" s="668">
        <f ca="1">BQ8*BQ6</f>
        <v>0</v>
      </c>
      <c r="BS24" s="700">
        <v>17</v>
      </c>
      <c r="BT24" s="684">
        <f t="shared" ca="1" si="23"/>
        <v>0</v>
      </c>
      <c r="BU24" s="685">
        <f t="shared" ca="1" si="15"/>
        <v>0</v>
      </c>
      <c r="BV24" s="721">
        <f ca="1">BV23-BW24</f>
        <v>0</v>
      </c>
      <c r="BW24" s="721">
        <f t="shared" ca="1" si="17"/>
        <v>0</v>
      </c>
    </row>
    <row r="25" spans="1:75" ht="14.5" x14ac:dyDescent="0.35">
      <c r="M25" s="691" t="s">
        <v>505</v>
      </c>
      <c r="N25" s="711">
        <f>IF($N$17*$N$22-0*$N$17&gt;0,$N$17*$N$22-0*$N$17,0)</f>
        <v>0</v>
      </c>
      <c r="R25" s="668" t="s">
        <v>1825</v>
      </c>
      <c r="S25" s="668">
        <f>S20</f>
        <v>0.8306010928961749</v>
      </c>
      <c r="U25" s="700">
        <v>18</v>
      </c>
      <c r="V25" s="719">
        <f t="shared" ca="1" si="22"/>
        <v>0</v>
      </c>
      <c r="W25" s="720">
        <f t="shared" ca="1" si="0"/>
        <v>0</v>
      </c>
      <c r="X25" s="721">
        <f t="shared" ca="1" si="1"/>
        <v>0</v>
      </c>
      <c r="Y25" s="721">
        <f t="shared" ca="1" si="2"/>
        <v>0</v>
      </c>
      <c r="AB25" s="668" t="s">
        <v>1825</v>
      </c>
      <c r="AC25" s="668" t="e">
        <f>AC20</f>
        <v>#VALUE!</v>
      </c>
      <c r="AE25" s="700">
        <v>18</v>
      </c>
      <c r="AF25" s="719" t="e">
        <f t="shared" ca="1" si="18"/>
        <v>#VALUE!</v>
      </c>
      <c r="AG25" s="720" t="e">
        <f t="shared" ca="1" si="3"/>
        <v>#VALUE!</v>
      </c>
      <c r="AH25" s="721" t="e">
        <f t="shared" ca="1" si="4"/>
        <v>#VALUE!</v>
      </c>
      <c r="AI25" s="721" t="e">
        <f t="shared" ca="1" si="5"/>
        <v>#VALUE!</v>
      </c>
      <c r="AL25" s="668" t="s">
        <v>1825</v>
      </c>
      <c r="AM25" s="668" t="e">
        <f>AM20</f>
        <v>#VALUE!</v>
      </c>
      <c r="AO25" s="700">
        <v>18</v>
      </c>
      <c r="AP25" s="690" t="e">
        <f t="shared" ca="1" si="19"/>
        <v>#VALUE!</v>
      </c>
      <c r="AQ25" s="685" t="e">
        <f t="shared" ca="1" si="6"/>
        <v>#VALUE!</v>
      </c>
      <c r="AR25" s="721" t="e">
        <f ca="1">AR24-AS25</f>
        <v>#VALUE!</v>
      </c>
      <c r="AS25" s="721" t="e">
        <f t="shared" ca="1" si="8"/>
        <v>#VALUE!</v>
      </c>
      <c r="AV25" s="668" t="s">
        <v>1825</v>
      </c>
      <c r="AW25" s="668" t="e">
        <f>AW20</f>
        <v>#VALUE!</v>
      </c>
      <c r="AY25" s="700">
        <v>18</v>
      </c>
      <c r="AZ25" s="684" t="e">
        <f t="shared" ca="1" si="20"/>
        <v>#VALUE!</v>
      </c>
      <c r="BA25" s="685" t="e">
        <f t="shared" ca="1" si="9"/>
        <v>#VALUE!</v>
      </c>
      <c r="BB25" s="721" t="e">
        <f ca="1">BB24-BC25</f>
        <v>#VALUE!</v>
      </c>
      <c r="BC25" s="721" t="e">
        <f t="shared" ca="1" si="11"/>
        <v>#VALUE!</v>
      </c>
      <c r="BF25" s="668" t="s">
        <v>1825</v>
      </c>
      <c r="BG25" s="668" t="e">
        <f>BG20</f>
        <v>#VALUE!</v>
      </c>
      <c r="BI25" s="700">
        <v>18</v>
      </c>
      <c r="BJ25" s="684" t="e">
        <f t="shared" ca="1" si="21"/>
        <v>#VALUE!</v>
      </c>
      <c r="BK25" s="685" t="e">
        <f t="shared" ca="1" si="12"/>
        <v>#VALUE!</v>
      </c>
      <c r="BL25" s="721" t="e">
        <f ca="1">BL24-BM25</f>
        <v>#VALUE!</v>
      </c>
      <c r="BM25" s="721" t="e">
        <f t="shared" ca="1" si="14"/>
        <v>#VALUE!</v>
      </c>
      <c r="BP25" s="668" t="s">
        <v>1825</v>
      </c>
      <c r="BQ25" s="668">
        <f>BQ20</f>
        <v>0.8306010928961749</v>
      </c>
      <c r="BS25" s="700">
        <v>18</v>
      </c>
      <c r="BT25" s="684">
        <f t="shared" ca="1" si="23"/>
        <v>0</v>
      </c>
      <c r="BU25" s="685">
        <f t="shared" ca="1" si="15"/>
        <v>0</v>
      </c>
      <c r="BV25" s="721">
        <f ca="1">BV24-BW25</f>
        <v>0</v>
      </c>
      <c r="BW25" s="721">
        <f t="shared" ca="1" si="17"/>
        <v>0</v>
      </c>
    </row>
    <row r="26" spans="1:75" ht="14.5" x14ac:dyDescent="0.35">
      <c r="B26" s="668" t="s">
        <v>1826</v>
      </c>
      <c r="D26" s="668">
        <f>D23-D24</f>
        <v>366</v>
      </c>
      <c r="M26" s="691" t="s">
        <v>506</v>
      </c>
      <c r="N26" s="723">
        <f>($N$9-$N$9)*$N$22</f>
        <v>0</v>
      </c>
      <c r="U26" s="700">
        <v>19</v>
      </c>
      <c r="V26" s="719">
        <f t="shared" ca="1" si="22"/>
        <v>0</v>
      </c>
      <c r="W26" s="720">
        <f t="shared" ca="1" si="0"/>
        <v>0</v>
      </c>
      <c r="X26" s="721">
        <f t="shared" ca="1" si="1"/>
        <v>0</v>
      </c>
      <c r="Y26" s="721">
        <f t="shared" ca="1" si="2"/>
        <v>0</v>
      </c>
      <c r="AE26" s="700">
        <v>19</v>
      </c>
      <c r="AF26" s="719" t="e">
        <f t="shared" ca="1" si="18"/>
        <v>#VALUE!</v>
      </c>
      <c r="AG26" s="720" t="e">
        <f t="shared" ca="1" si="3"/>
        <v>#VALUE!</v>
      </c>
      <c r="AH26" s="721" t="e">
        <f t="shared" ca="1" si="4"/>
        <v>#VALUE!</v>
      </c>
      <c r="AI26" s="721" t="e">
        <f t="shared" ca="1" si="5"/>
        <v>#VALUE!</v>
      </c>
      <c r="AO26" s="700">
        <v>19</v>
      </c>
      <c r="AP26" s="690" t="e">
        <f t="shared" ca="1" si="19"/>
        <v>#VALUE!</v>
      </c>
      <c r="AQ26" s="685" t="e">
        <f t="shared" ca="1" si="6"/>
        <v>#VALUE!</v>
      </c>
      <c r="AR26" s="721" t="e">
        <f ca="1">AR25-AS26</f>
        <v>#VALUE!</v>
      </c>
      <c r="AS26" s="721" t="e">
        <f t="shared" ca="1" si="8"/>
        <v>#VALUE!</v>
      </c>
      <c r="AY26" s="700">
        <v>19</v>
      </c>
      <c r="AZ26" s="684" t="e">
        <f ca="1">BB25*(($AW$8))</f>
        <v>#VALUE!</v>
      </c>
      <c r="BA26" s="685" t="e">
        <f t="shared" ca="1" si="9"/>
        <v>#VALUE!</v>
      </c>
      <c r="BB26" s="721" t="e">
        <f ca="1">BB25-BC26</f>
        <v>#VALUE!</v>
      </c>
      <c r="BC26" s="721" t="e">
        <f t="shared" ca="1" si="11"/>
        <v>#VALUE!</v>
      </c>
      <c r="BI26" s="700">
        <v>19</v>
      </c>
      <c r="BJ26" s="684" t="e">
        <f t="shared" ca="1" si="21"/>
        <v>#VALUE!</v>
      </c>
      <c r="BK26" s="685" t="e">
        <f t="shared" ca="1" si="12"/>
        <v>#VALUE!</v>
      </c>
      <c r="BL26" s="721" t="e">
        <f ca="1">BL25-BM26</f>
        <v>#VALUE!</v>
      </c>
      <c r="BM26" s="721" t="e">
        <f t="shared" ca="1" si="14"/>
        <v>#VALUE!</v>
      </c>
      <c r="BS26" s="700">
        <v>19</v>
      </c>
      <c r="BT26" s="684">
        <f t="shared" ca="1" si="23"/>
        <v>0</v>
      </c>
      <c r="BU26" s="685">
        <f t="shared" ca="1" si="15"/>
        <v>0</v>
      </c>
      <c r="BV26" s="721">
        <f ca="1">BV25-BW26</f>
        <v>0</v>
      </c>
      <c r="BW26" s="721">
        <f t="shared" ca="1" si="17"/>
        <v>0</v>
      </c>
    </row>
    <row r="27" spans="1:75" ht="14.5" x14ac:dyDescent="0.35">
      <c r="M27" s="691" t="s">
        <v>507</v>
      </c>
      <c r="N27" s="724">
        <f>N21*N22-N25-N26</f>
        <v>20</v>
      </c>
      <c r="R27" s="668" t="s">
        <v>1827</v>
      </c>
      <c r="U27" s="700">
        <v>20</v>
      </c>
      <c r="V27" s="719">
        <f t="shared" ca="1" si="22"/>
        <v>0</v>
      </c>
      <c r="W27" s="720">
        <f t="shared" ca="1" si="0"/>
        <v>0</v>
      </c>
      <c r="X27" s="721">
        <f t="shared" ca="1" si="1"/>
        <v>0</v>
      </c>
      <c r="Y27" s="721">
        <f t="shared" ca="1" si="2"/>
        <v>0</v>
      </c>
      <c r="AE27" s="700">
        <v>20</v>
      </c>
      <c r="AF27" s="719" t="e">
        <f t="shared" ca="1" si="18"/>
        <v>#VALUE!</v>
      </c>
      <c r="AG27" s="720" t="e">
        <f t="shared" ca="1" si="3"/>
        <v>#VALUE!</v>
      </c>
      <c r="AH27" s="721" t="e">
        <f t="shared" ca="1" si="4"/>
        <v>#VALUE!</v>
      </c>
      <c r="AI27" s="721" t="e">
        <f t="shared" ca="1" si="5"/>
        <v>#VALUE!</v>
      </c>
      <c r="AO27" s="700">
        <v>20</v>
      </c>
      <c r="AP27" s="690" t="e">
        <f ca="1">AR26*(($AM$8))</f>
        <v>#VALUE!</v>
      </c>
      <c r="AQ27" s="685" t="e">
        <f t="shared" ca="1" si="6"/>
        <v>#VALUE!</v>
      </c>
      <c r="AR27" s="721" t="e">
        <f ca="1">AR26-AS27</f>
        <v>#VALUE!</v>
      </c>
      <c r="AS27" s="721" t="e">
        <f t="shared" ca="1" si="8"/>
        <v>#VALUE!</v>
      </c>
      <c r="AY27" s="700">
        <v>20</v>
      </c>
      <c r="AZ27" s="684" t="e">
        <f ca="1">BB26*(($AW$8))</f>
        <v>#VALUE!</v>
      </c>
      <c r="BA27" s="685" t="e">
        <f t="shared" ca="1" si="9"/>
        <v>#VALUE!</v>
      </c>
      <c r="BB27" s="721" t="e">
        <f ca="1">BB26-BC27</f>
        <v>#VALUE!</v>
      </c>
      <c r="BC27" s="721" t="e">
        <f t="shared" ca="1" si="11"/>
        <v>#VALUE!</v>
      </c>
      <c r="BI27" s="700">
        <v>20</v>
      </c>
      <c r="BJ27" s="684" t="e">
        <f t="shared" ca="1" si="21"/>
        <v>#VALUE!</v>
      </c>
      <c r="BK27" s="685" t="e">
        <f t="shared" ca="1" si="12"/>
        <v>#VALUE!</v>
      </c>
      <c r="BL27" s="721" t="e">
        <f ca="1">BL26-BM27</f>
        <v>#VALUE!</v>
      </c>
      <c r="BM27" s="721" t="e">
        <f t="shared" ca="1" si="14"/>
        <v>#VALUE!</v>
      </c>
      <c r="BS27" s="700">
        <v>20</v>
      </c>
      <c r="BT27" s="684">
        <f t="shared" ca="1" si="23"/>
        <v>0</v>
      </c>
      <c r="BU27" s="685">
        <f t="shared" ca="1" si="15"/>
        <v>0</v>
      </c>
      <c r="BV27" s="721">
        <f ca="1">BV26-BW27</f>
        <v>0</v>
      </c>
      <c r="BW27" s="721">
        <f t="shared" ca="1" si="17"/>
        <v>0</v>
      </c>
    </row>
    <row r="28" spans="1:75" ht="13" x14ac:dyDescent="0.25">
      <c r="M28" s="691" t="s">
        <v>1828</v>
      </c>
      <c r="N28" s="725">
        <f>(1+N19)^-N25</f>
        <v>1</v>
      </c>
    </row>
    <row r="29" spans="1:75" ht="13" x14ac:dyDescent="0.25">
      <c r="B29" s="668" t="s">
        <v>1795</v>
      </c>
      <c r="M29" s="691" t="s">
        <v>1829</v>
      </c>
      <c r="N29" s="726">
        <f>(1+N19)^-N26</f>
        <v>1</v>
      </c>
    </row>
    <row r="30" spans="1:75" ht="13" x14ac:dyDescent="0.25">
      <c r="A30" s="668" t="s">
        <v>1806</v>
      </c>
      <c r="B30" s="668">
        <f>IF(B13="","A",B13)</f>
        <v>0</v>
      </c>
      <c r="M30" s="727" t="s">
        <v>1830</v>
      </c>
      <c r="N30" s="728">
        <f ca="1">N18*$N$11</f>
        <v>498.75621120889502</v>
      </c>
      <c r="T30" s="668" t="s">
        <v>1831</v>
      </c>
      <c r="V30" s="686">
        <f ca="1">NPV(S7,V9:V27)</f>
        <v>0</v>
      </c>
      <c r="AD30" s="668" t="s">
        <v>1831</v>
      </c>
      <c r="AF30" s="686" t="e">
        <f ca="1">NPV(AC7,AF9:AF27)</f>
        <v>#VALUE!</v>
      </c>
      <c r="AN30" s="668" t="s">
        <v>1831</v>
      </c>
      <c r="AP30" s="686" t="e">
        <f ca="1">NPV(AM7,AP9:AP27)</f>
        <v>#VALUE!</v>
      </c>
      <c r="AX30" s="668" t="s">
        <v>1831</v>
      </c>
      <c r="AZ30" s="686" t="e">
        <f ca="1">NPV(AW7,AZ9:AZ27)</f>
        <v>#VALUE!</v>
      </c>
      <c r="BH30" s="668" t="s">
        <v>1831</v>
      </c>
      <c r="BJ30" s="686" t="e">
        <f ca="1">NPV(BG7,BJ9:BJ27)</f>
        <v>#VALUE!</v>
      </c>
      <c r="BR30" s="668" t="s">
        <v>1831</v>
      </c>
      <c r="BT30" s="686">
        <f ca="1">NPV(BQ7,BT9:BT27)</f>
        <v>0</v>
      </c>
    </row>
    <row r="31" spans="1:75" ht="13" x14ac:dyDescent="0.25">
      <c r="A31" s="668" t="s">
        <v>1808</v>
      </c>
      <c r="B31" s="668" t="str">
        <f t="shared" ref="B31:B34" si="31">IF(B14="","A",B14)</f>
        <v>A</v>
      </c>
      <c r="M31" s="727" t="s">
        <v>546</v>
      </c>
      <c r="N31" s="728">
        <f ca="1">PMT(N18,N27,-N11)</f>
        <v>5265.9716472230511</v>
      </c>
    </row>
    <row r="32" spans="1:75" ht="13" x14ac:dyDescent="0.25">
      <c r="A32" s="668" t="s">
        <v>1810</v>
      </c>
      <c r="B32" s="668" t="str">
        <f t="shared" si="31"/>
        <v>A</v>
      </c>
      <c r="M32" s="691" t="s">
        <v>1832</v>
      </c>
      <c r="N32" s="725">
        <f>PV(N19,N27,-1)</f>
        <v>18.989847781032623</v>
      </c>
      <c r="T32" s="668" t="s">
        <v>1833</v>
      </c>
      <c r="V32" s="686">
        <f ca="1">PV(F13,1,V30)</f>
        <v>0</v>
      </c>
      <c r="AD32" s="668" t="s">
        <v>1833</v>
      </c>
      <c r="AF32" s="686" t="e">
        <f ca="1">PV(F14,1,AF30)</f>
        <v>#VALUE!</v>
      </c>
      <c r="AN32" s="668" t="s">
        <v>1833</v>
      </c>
      <c r="AP32" s="686" t="e">
        <f ca="1">PV(F15,1,AP30)</f>
        <v>#VALUE!</v>
      </c>
      <c r="AX32" s="668" t="s">
        <v>1833</v>
      </c>
      <c r="AZ32" s="686" t="e">
        <f ca="1">PV(F16,1,AZ30)</f>
        <v>#VALUE!</v>
      </c>
      <c r="BH32" s="668" t="s">
        <v>1833</v>
      </c>
      <c r="BJ32" s="686" t="e">
        <f ca="1">PV(F17,1,BJ30)</f>
        <v>#VALUE!</v>
      </c>
      <c r="BR32" s="668" t="s">
        <v>1833</v>
      </c>
      <c r="BT32" s="686">
        <f ca="1">PV(F18,1,BT30)</f>
        <v>0</v>
      </c>
    </row>
    <row r="33" spans="1:73" ht="13.5" thickBot="1" x14ac:dyDescent="0.3">
      <c r="A33" s="668" t="s">
        <v>1812</v>
      </c>
      <c r="B33" s="668" t="str">
        <f>IF(B16="","A",B16)</f>
        <v>A</v>
      </c>
      <c r="M33" s="691" t="s">
        <v>1834</v>
      </c>
      <c r="N33" s="729">
        <f>PV(N19,N25,-1)</f>
        <v>0</v>
      </c>
    </row>
    <row r="34" spans="1:73" ht="16.5" thickTop="1" thickBot="1" x14ac:dyDescent="0.3">
      <c r="A34" s="668" t="s">
        <v>1814</v>
      </c>
      <c r="B34" s="668" t="str">
        <f t="shared" si="31"/>
        <v>A</v>
      </c>
      <c r="M34" s="730" t="s">
        <v>550</v>
      </c>
      <c r="N34" s="731" t="e">
        <f ca="1">((N18/(N19-N18)*(N11-N31*N32))*N28+N30*N33)*N29</f>
        <v>#DIV/0!</v>
      </c>
      <c r="O34" s="732" t="e">
        <f ca="1">((N18/(N19-N18)*(N11-N31*N32)))</f>
        <v>#DIV/0!</v>
      </c>
      <c r="P34" s="733"/>
      <c r="T34" s="668" t="s">
        <v>1835</v>
      </c>
      <c r="V34" s="686">
        <f ca="1">PV(F13,1,V8)</f>
        <v>0</v>
      </c>
      <c r="W34" s="734"/>
      <c r="AD34" s="668" t="s">
        <v>1835</v>
      </c>
      <c r="AF34" s="686" t="e">
        <f ca="1">PV(F14,1,AF8)</f>
        <v>#VALUE!</v>
      </c>
      <c r="AG34" s="734"/>
      <c r="AN34" s="668" t="s">
        <v>1835</v>
      </c>
      <c r="AP34" s="686" t="e">
        <f ca="1">PV(F15,1,AP8)</f>
        <v>#VALUE!</v>
      </c>
      <c r="AQ34" s="734"/>
      <c r="AX34" s="668" t="s">
        <v>1835</v>
      </c>
      <c r="AZ34" s="686" t="e">
        <f ca="1">PV(F16,1,AZ8)</f>
        <v>#VALUE!</v>
      </c>
      <c r="BA34" s="734"/>
      <c r="BH34" s="668" t="s">
        <v>1835</v>
      </c>
      <c r="BJ34" s="686" t="e">
        <f ca="1">PV(F17,1,BJ8)</f>
        <v>#VALUE!</v>
      </c>
      <c r="BK34" s="734"/>
      <c r="BR34" s="668" t="s">
        <v>1835</v>
      </c>
      <c r="BT34" s="686">
        <f ca="1">PV(F18,1,BT8)</f>
        <v>0</v>
      </c>
      <c r="BU34" s="734"/>
    </row>
    <row r="35" spans="1:73" ht="13.5" thickTop="1" x14ac:dyDescent="0.25">
      <c r="A35" s="668" t="s">
        <v>1817</v>
      </c>
      <c r="B35" s="668" t="str">
        <f>IF(B18="","A",B18)</f>
        <v>A</v>
      </c>
      <c r="M35" s="691"/>
      <c r="N35" s="691"/>
      <c r="O35" s="735" t="e">
        <f ca="1">O34*N28</f>
        <v>#DIV/0!</v>
      </c>
      <c r="Q35" s="668">
        <f ca="1">+N30*N33</f>
        <v>0</v>
      </c>
    </row>
    <row r="36" spans="1:73" ht="13" x14ac:dyDescent="0.25">
      <c r="B36" s="736"/>
      <c r="M36" s="717" t="s">
        <v>528</v>
      </c>
      <c r="N36" s="718" t="str">
        <f>$M$40</f>
        <v>vp = (1+iATT)-p</v>
      </c>
      <c r="O36" s="737" t="e">
        <f ca="1">O35+Q35</f>
        <v>#DIV/0!</v>
      </c>
      <c r="S36" s="732"/>
      <c r="T36" s="668" t="s">
        <v>1836</v>
      </c>
      <c r="V36" s="734">
        <f ca="1">V32+V34</f>
        <v>0</v>
      </c>
      <c r="AC36" s="732"/>
      <c r="AD36" s="668" t="s">
        <v>1836</v>
      </c>
      <c r="AF36" s="734" t="e">
        <f ca="1">AF32+AF34</f>
        <v>#VALUE!</v>
      </c>
      <c r="AM36" s="732"/>
      <c r="AN36" s="668" t="s">
        <v>1836</v>
      </c>
      <c r="AP36" s="734" t="e">
        <f ca="1">AP32+AP34</f>
        <v>#VALUE!</v>
      </c>
      <c r="AW36" s="732"/>
      <c r="AX36" s="668" t="s">
        <v>1836</v>
      </c>
      <c r="AZ36" s="734" t="e">
        <f ca="1">AZ32+AZ34</f>
        <v>#VALUE!</v>
      </c>
      <c r="BG36" s="732"/>
      <c r="BH36" s="668" t="s">
        <v>1836</v>
      </c>
      <c r="BJ36" s="734" t="e">
        <f ca="1">BJ32+BJ34</f>
        <v>#VALUE!</v>
      </c>
      <c r="BQ36" s="732"/>
      <c r="BR36" s="668" t="s">
        <v>1836</v>
      </c>
      <c r="BT36" s="734">
        <f ca="1">BT32+BT34</f>
        <v>0</v>
      </c>
    </row>
    <row r="37" spans="1:73" ht="13" x14ac:dyDescent="0.25">
      <c r="M37" s="691" t="s">
        <v>505</v>
      </c>
      <c r="N37" s="712">
        <f>IF(N17*N22-1*N22&gt;0,$N17*N22-1*N22,0)</f>
        <v>0</v>
      </c>
      <c r="V37" s="734"/>
      <c r="AF37" s="734"/>
      <c r="AP37" s="734"/>
      <c r="AZ37" s="734"/>
      <c r="BJ37" s="734"/>
      <c r="BT37" s="734"/>
    </row>
    <row r="38" spans="1:73" ht="15.5" x14ac:dyDescent="0.35">
      <c r="C38" s="738" t="s">
        <v>1854</v>
      </c>
      <c r="D38" s="668" t="s">
        <v>1839</v>
      </c>
      <c r="E38" s="668" t="s">
        <v>1840</v>
      </c>
      <c r="F38" s="668" t="s">
        <v>1841</v>
      </c>
      <c r="G38" s="668" t="s">
        <v>1842</v>
      </c>
      <c r="H38" s="1432" t="s">
        <v>1843</v>
      </c>
      <c r="I38" s="1432" t="s">
        <v>1844</v>
      </c>
      <c r="M38" s="691" t="s">
        <v>506</v>
      </c>
      <c r="N38" s="712">
        <f>(O9-N9)*N22</f>
        <v>2</v>
      </c>
      <c r="S38" s="735"/>
      <c r="T38" s="668" t="s">
        <v>1845</v>
      </c>
      <c r="V38" s="739">
        <f ca="1">NPV(S22,V36)</f>
        <v>0</v>
      </c>
      <c r="AC38" s="735"/>
      <c r="AD38" s="668" t="s">
        <v>1845</v>
      </c>
      <c r="AF38" s="739" t="e">
        <f>NPV(AC22,AF36)</f>
        <v>#VALUE!</v>
      </c>
      <c r="AM38" s="735"/>
      <c r="AN38" s="668" t="s">
        <v>1845</v>
      </c>
      <c r="AP38" s="739" t="e">
        <f>NPV(AM22,AP36)</f>
        <v>#VALUE!</v>
      </c>
      <c r="AW38" s="735"/>
      <c r="AX38" s="668" t="s">
        <v>1845</v>
      </c>
      <c r="AZ38" s="739" t="e">
        <f>NPV(AW22,AZ36)</f>
        <v>#VALUE!</v>
      </c>
      <c r="BG38" s="735"/>
      <c r="BH38" s="668" t="s">
        <v>1845</v>
      </c>
      <c r="BJ38" s="739" t="e">
        <f>NPV(BG22,BJ36)</f>
        <v>#VALUE!</v>
      </c>
      <c r="BQ38" s="735"/>
      <c r="BR38" s="668" t="s">
        <v>1845</v>
      </c>
      <c r="BT38" s="739">
        <f ca="1">NPV(BQ22,BT36)</f>
        <v>0</v>
      </c>
    </row>
    <row r="39" spans="1:73" ht="15.5" x14ac:dyDescent="0.35">
      <c r="A39" s="738" t="s">
        <v>1846</v>
      </c>
      <c r="B39" s="736">
        <f>MAX(B13:B18)</f>
        <v>0</v>
      </c>
      <c r="C39" s="713">
        <f>EDATE(B39,6)</f>
        <v>182</v>
      </c>
      <c r="D39" s="736">
        <f>DATE(G39,F39,E39)</f>
        <v>152</v>
      </c>
      <c r="E39" s="668">
        <f>DAY(C23)</f>
        <v>31</v>
      </c>
      <c r="F39" s="668">
        <f>MONTH(C23)</f>
        <v>5</v>
      </c>
      <c r="G39" s="668">
        <f>YEAR(B39)</f>
        <v>1900</v>
      </c>
      <c r="H39" s="1433">
        <f>+D39-$B$39</f>
        <v>152</v>
      </c>
      <c r="I39" s="694">
        <f>+IF(H39&lt;0,D41,D40)</f>
        <v>335</v>
      </c>
      <c r="M39" s="691" t="s">
        <v>507</v>
      </c>
      <c r="N39" s="740">
        <f>$N21*$N$22-N37-N38</f>
        <v>18</v>
      </c>
      <c r="V39" s="734"/>
      <c r="AF39" s="734"/>
      <c r="AP39" s="734"/>
      <c r="AZ39" s="734"/>
      <c r="BJ39" s="734"/>
      <c r="BT39" s="734"/>
    </row>
    <row r="40" spans="1:73" ht="15.5" x14ac:dyDescent="0.35">
      <c r="A40" s="738" t="s">
        <v>1847</v>
      </c>
      <c r="B40" s="716">
        <f>MIN(B30:B36)</f>
        <v>0</v>
      </c>
      <c r="D40" s="736">
        <f>DATE(G40,F40,E40)</f>
        <v>335</v>
      </c>
      <c r="E40" s="668">
        <f>DAY(C24)</f>
        <v>30</v>
      </c>
      <c r="F40" s="668">
        <f>MONTH(C24)</f>
        <v>11</v>
      </c>
      <c r="G40" s="668">
        <f>YEAR(B39)</f>
        <v>1900</v>
      </c>
      <c r="H40" s="1433">
        <f>+D40-$B$39</f>
        <v>335</v>
      </c>
      <c r="I40" s="674"/>
      <c r="M40" s="691" t="s">
        <v>1828</v>
      </c>
      <c r="N40" s="741">
        <f>(1+N19)^-N37</f>
        <v>1</v>
      </c>
      <c r="S40" s="742"/>
      <c r="T40" s="668" t="s">
        <v>1848</v>
      </c>
      <c r="V40" s="734">
        <f ca="1">PV(S7,S25,S24)</f>
        <v>0</v>
      </c>
      <c r="AC40" s="742"/>
      <c r="AD40" s="668" t="s">
        <v>1848</v>
      </c>
      <c r="AF40" s="734" t="e">
        <f ca="1">PV(AC7,AC25,AC24)</f>
        <v>#VALUE!</v>
      </c>
      <c r="AM40" s="742"/>
      <c r="AN40" s="668" t="s">
        <v>1848</v>
      </c>
      <c r="AP40" s="734" t="e">
        <f ca="1">PV(AM7,AM25,AM24)</f>
        <v>#VALUE!</v>
      </c>
      <c r="AW40" s="742"/>
      <c r="AX40" s="668" t="s">
        <v>1848</v>
      </c>
      <c r="AZ40" s="734" t="e">
        <f ca="1">PV(AW7,AW25,AW24)</f>
        <v>#VALUE!</v>
      </c>
      <c r="BG40" s="742"/>
      <c r="BH40" s="668" t="s">
        <v>1848</v>
      </c>
      <c r="BJ40" s="734" t="e">
        <f ca="1">PV(BG7,BG25,BG24)</f>
        <v>#VALUE!</v>
      </c>
      <c r="BQ40" s="742"/>
      <c r="BR40" s="668" t="s">
        <v>1848</v>
      </c>
      <c r="BT40" s="734">
        <f ca="1">PV(BQ7,BQ25,BQ24)</f>
        <v>0</v>
      </c>
    </row>
    <row r="41" spans="1:73" ht="13" x14ac:dyDescent="0.25">
      <c r="D41" s="736">
        <f>DATE(G41,F41,E41)</f>
        <v>517</v>
      </c>
      <c r="E41" s="668">
        <f>E39</f>
        <v>31</v>
      </c>
      <c r="F41" s="668">
        <f>F39</f>
        <v>5</v>
      </c>
      <c r="G41" s="668">
        <f>G39+1</f>
        <v>1901</v>
      </c>
      <c r="H41" s="1433">
        <f>+D41-$B$39</f>
        <v>517</v>
      </c>
      <c r="I41" s="674"/>
      <c r="M41" s="691" t="s">
        <v>1829</v>
      </c>
      <c r="N41" s="741">
        <f>(1+N19)^-N38</f>
        <v>0.99009900990099031</v>
      </c>
    </row>
    <row r="42" spans="1:73" ht="13" x14ac:dyDescent="0.25">
      <c r="C42" s="668" t="s">
        <v>1849</v>
      </c>
      <c r="M42" s="727" t="s">
        <v>1850</v>
      </c>
      <c r="N42" s="743">
        <f ca="1">N18*O11</f>
        <v>0</v>
      </c>
      <c r="S42" s="744"/>
      <c r="T42" s="668" t="s">
        <v>1851</v>
      </c>
      <c r="V42" s="668">
        <f>(1+S7)^(-H13)</f>
        <v>1</v>
      </c>
      <c r="AC42" s="744"/>
      <c r="AD42" s="668" t="s">
        <v>1851</v>
      </c>
      <c r="AF42" s="668" t="e">
        <f>(1+AC7)^(-H14)</f>
        <v>#VALUE!</v>
      </c>
      <c r="AM42" s="744"/>
      <c r="AN42" s="668" t="s">
        <v>1851</v>
      </c>
      <c r="AP42" s="668" t="e">
        <f>(1+AM7)^(-H15)</f>
        <v>#VALUE!</v>
      </c>
      <c r="AW42" s="744"/>
      <c r="AX42" s="668" t="s">
        <v>1851</v>
      </c>
      <c r="AZ42" s="668" t="e">
        <f>(1+AW7)^(-H16)</f>
        <v>#VALUE!</v>
      </c>
      <c r="BG42" s="744"/>
      <c r="BH42" s="668" t="s">
        <v>1851</v>
      </c>
      <c r="BJ42" s="668" t="e">
        <f>(1+BG7)^(-H17)</f>
        <v>#VALUE!</v>
      </c>
      <c r="BQ42" s="744"/>
      <c r="BR42" s="668" t="s">
        <v>1851</v>
      </c>
      <c r="BT42" s="668">
        <f>(1+BQ7)^(-H18)</f>
        <v>1</v>
      </c>
    </row>
    <row r="43" spans="1:73" ht="13" x14ac:dyDescent="0.25">
      <c r="C43" s="736">
        <f>IF(B39&lt;D39,D39,IF(B39&gt;D40,D41,D40))</f>
        <v>152</v>
      </c>
      <c r="M43" s="727" t="s">
        <v>546</v>
      </c>
      <c r="N43" s="743">
        <f ca="1">PMT(N18,N39,-O11)</f>
        <v>0</v>
      </c>
    </row>
    <row r="44" spans="1:73" ht="13" x14ac:dyDescent="0.25">
      <c r="M44" s="691" t="s">
        <v>1832</v>
      </c>
      <c r="N44" s="745">
        <f>PV(N19,N39,-1)</f>
        <v>17.174758696730894</v>
      </c>
      <c r="T44" s="674" t="s">
        <v>1852</v>
      </c>
      <c r="V44" s="671">
        <f ca="1">IFERROR(((V38+V40)*V42),0)</f>
        <v>0</v>
      </c>
      <c r="W44" s="746" t="e">
        <f ca="1">V44+N34</f>
        <v>#DIV/0!</v>
      </c>
      <c r="AD44" s="674" t="s">
        <v>1852</v>
      </c>
      <c r="AF44" s="671">
        <f ca="1">IFERROR((AF38+AF40)*AF42,0)</f>
        <v>0</v>
      </c>
      <c r="AG44" s="746" t="e">
        <f ca="1">AF44+$N$34</f>
        <v>#DIV/0!</v>
      </c>
      <c r="AN44" s="674" t="s">
        <v>1852</v>
      </c>
      <c r="AP44" s="671">
        <f ca="1">IFERROR((AP38+AP40)*AP42,0)</f>
        <v>0</v>
      </c>
      <c r="AQ44" s="746" t="e">
        <f ca="1">AP44+$N$34</f>
        <v>#DIV/0!</v>
      </c>
      <c r="AX44" s="674" t="s">
        <v>1852</v>
      </c>
      <c r="AZ44" s="671">
        <f ca="1">IFERROR((AZ38+AZ40)*AZ42,0)</f>
        <v>0</v>
      </c>
      <c r="BA44" s="746" t="e">
        <f ca="1">AZ44+$N$34</f>
        <v>#DIV/0!</v>
      </c>
      <c r="BH44" s="674" t="s">
        <v>1852</v>
      </c>
      <c r="BJ44" s="671">
        <f ca="1">IFERROR((BJ38+BJ40)*BJ42,0)</f>
        <v>0</v>
      </c>
      <c r="BK44" s="746" t="e">
        <f ca="1">BJ44+$N$34</f>
        <v>#DIV/0!</v>
      </c>
      <c r="BR44" s="674" t="s">
        <v>1852</v>
      </c>
      <c r="BT44" s="671">
        <f ca="1">IFERROR((BT38+BT40)*BT42,0)</f>
        <v>0</v>
      </c>
      <c r="BU44" s="746" t="e">
        <f ca="1">BT44+$N$34</f>
        <v>#DIV/0!</v>
      </c>
    </row>
    <row r="45" spans="1:73" ht="13.5" thickBot="1" x14ac:dyDescent="0.3">
      <c r="M45" s="691" t="s">
        <v>1834</v>
      </c>
      <c r="N45" s="747">
        <f>PV(N19,N37,-1)</f>
        <v>0</v>
      </c>
    </row>
    <row r="46" spans="1:73" ht="16.5" thickTop="1" thickBot="1" x14ac:dyDescent="0.3">
      <c r="M46" s="730" t="s">
        <v>550</v>
      </c>
      <c r="N46" s="748" t="e">
        <f ca="1">IF(N39&lt;=0,0,((N18/(N19-N18)*(O11-N43*N44))*N40+N42*N45)*N41)</f>
        <v>#DIV/0!</v>
      </c>
    </row>
    <row r="47" spans="1:73" ht="13" thickTop="1" x14ac:dyDescent="0.25"/>
    <row r="51" spans="21:23" x14ac:dyDescent="0.25">
      <c r="U51" s="668">
        <f>60/365</f>
        <v>0.16438356164383561</v>
      </c>
      <c r="W51" s="682">
        <f ca="1">S6/W55</f>
        <v>0</v>
      </c>
    </row>
    <row r="53" spans="21:23" x14ac:dyDescent="0.25">
      <c r="U53" s="668">
        <f>1/U51</f>
        <v>6.0833333333333339</v>
      </c>
    </row>
    <row r="54" spans="21:23" x14ac:dyDescent="0.25">
      <c r="W54" s="668">
        <f ca="1">(1-((1+S8)^(-19-U51)))</f>
        <v>9.0941634611448441E-2</v>
      </c>
    </row>
    <row r="55" spans="21:23" x14ac:dyDescent="0.25">
      <c r="U55" s="668">
        <f>60*U53</f>
        <v>365.00000000000006</v>
      </c>
      <c r="W55" s="668">
        <f ca="1">W54/S8</f>
        <v>18.233684627409918</v>
      </c>
    </row>
  </sheetData>
  <mergeCells count="8">
    <mergeCell ref="BS3:BW3"/>
    <mergeCell ref="N8:O8"/>
    <mergeCell ref="A1:C1"/>
    <mergeCell ref="U3:Y3"/>
    <mergeCell ref="AE3:AI3"/>
    <mergeCell ref="AO3:AS3"/>
    <mergeCell ref="AY3:BC3"/>
    <mergeCell ref="BI3:BM3"/>
  </mergeCells>
  <pageMargins left="0.7" right="0.7" top="0.75" bottom="0.75" header="0.3" footer="0.3"/>
  <pageSetup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404D9-D22F-46BE-A1A6-5FA621BD17B7}">
  <sheetPr codeName="Foglio16"/>
  <dimension ref="A1:G10"/>
  <sheetViews>
    <sheetView zoomScale="140" zoomScaleNormal="140" workbookViewId="0">
      <selection activeCell="B16" sqref="B16"/>
    </sheetView>
  </sheetViews>
  <sheetFormatPr defaultRowHeight="14.5" x14ac:dyDescent="0.35"/>
  <cols>
    <col min="1" max="1" width="60.54296875" customWidth="1"/>
    <col min="2" max="2" width="29.7265625" customWidth="1"/>
    <col min="3" max="3" width="17.54296875" customWidth="1"/>
    <col min="4" max="4" width="20.26953125" customWidth="1"/>
  </cols>
  <sheetData>
    <row r="1" spans="1:7" ht="21.5" thickBot="1" x14ac:dyDescent="0.4">
      <c r="A1" s="355" t="s">
        <v>1855</v>
      </c>
      <c r="B1" s="356"/>
      <c r="C1" s="586" t="s">
        <v>1856</v>
      </c>
      <c r="D1" s="587" t="s">
        <v>1857</v>
      </c>
    </row>
    <row r="2" spans="1:7" x14ac:dyDescent="0.35">
      <c r="A2" s="357" t="s">
        <v>1858</v>
      </c>
      <c r="B2" s="581">
        <f ca="1">IF('Dati riepilogativi'!B2="Capo ii",'Calcolo contributo CAPO II'!D18,GBER!D14)</f>
        <v>0</v>
      </c>
      <c r="C2" s="788">
        <f ca="1">+B2*C5</f>
        <v>0</v>
      </c>
      <c r="D2" s="788">
        <f ca="1">+B2*D5</f>
        <v>0</v>
      </c>
      <c r="F2" s="590"/>
      <c r="G2" t="s">
        <v>422</v>
      </c>
    </row>
    <row r="3" spans="1:7" x14ac:dyDescent="0.35">
      <c r="A3" s="357" t="s">
        <v>1859</v>
      </c>
      <c r="B3" s="582">
        <f>IF('Dati riepilogativi'!B2="Capo ii",'Calcolo contributo CAPO II'!D21,0)</f>
        <v>0</v>
      </c>
      <c r="C3" s="789">
        <f>+B3*C5</f>
        <v>0</v>
      </c>
      <c r="D3" s="789">
        <f>+B3*D5</f>
        <v>0</v>
      </c>
    </row>
    <row r="4" spans="1:7" x14ac:dyDescent="0.35">
      <c r="A4" s="357" t="s">
        <v>1860</v>
      </c>
      <c r="B4" s="579">
        <f ca="1">+B2+B3</f>
        <v>0</v>
      </c>
      <c r="C4" s="580">
        <f ca="1">+C2+C3</f>
        <v>0</v>
      </c>
      <c r="D4" s="580">
        <f ca="1">+D2+D3</f>
        <v>0</v>
      </c>
    </row>
    <row r="5" spans="1:7" x14ac:dyDescent="0.35">
      <c r="A5" s="357"/>
      <c r="B5" s="578"/>
      <c r="C5" s="583">
        <f>IF('Dati riepilogativi'!B2="Capo ii",IFERROR(Simulazione!Z44/Simulazione!AB44,0),SUM(GBER!D24:D27))</f>
        <v>0</v>
      </c>
      <c r="D5" s="583">
        <f>IF('Dati riepilogativi'!B2="Capo ii",IFERROR(Simulazione!AA44/Simulazione!AB44,0),SUM(GBER!D28:D31))</f>
        <v>0</v>
      </c>
    </row>
    <row r="6" spans="1:7" x14ac:dyDescent="0.35">
      <c r="A6" s="358" t="s">
        <v>1861</v>
      </c>
      <c r="B6" s="578">
        <f>+B7+B8</f>
        <v>0</v>
      </c>
    </row>
    <row r="7" spans="1:7" x14ac:dyDescent="0.35">
      <c r="A7" s="359" t="s">
        <v>1862</v>
      </c>
      <c r="B7" s="786">
        <f>IF('Dati riepilogativi'!B2="Capo ii",'Calcolo contributo CAPO II'!C31,GBER!C38)</f>
        <v>0</v>
      </c>
      <c r="C7" s="584">
        <f>+$B$7*C5</f>
        <v>0</v>
      </c>
      <c r="D7" s="584">
        <f>+$B$7*D5</f>
        <v>0</v>
      </c>
    </row>
    <row r="8" spans="1:7" x14ac:dyDescent="0.35">
      <c r="A8" s="360" t="s">
        <v>1863</v>
      </c>
      <c r="B8" s="787">
        <f>IF('Dati riepilogativi'!B2="Capo ii",'Calcolo contributo CAPO II'!C33,GBER!C40)</f>
        <v>0</v>
      </c>
      <c r="C8" s="584">
        <f>+$B$8*C5</f>
        <v>0</v>
      </c>
      <c r="D8" s="584">
        <f>+$B$8*D5</f>
        <v>0</v>
      </c>
    </row>
    <row r="9" spans="1:7" ht="15.75" customHeight="1" x14ac:dyDescent="0.35">
      <c r="A9" s="574" t="s">
        <v>1864</v>
      </c>
      <c r="B9" s="1232">
        <f ca="1">+IF(AND('Dati riepilogativi'!$B$2="Capo II",'Programma di spesa ammesso'!F10&lt;=250000),5000,IF(AND('Dati riepilogativi'!$B$2="Capo II",'Programma di spesa ammesso'!F10&gt;250000),10000,0))</f>
        <v>0</v>
      </c>
    </row>
    <row r="10" spans="1:7" x14ac:dyDescent="0.35">
      <c r="A10" s="573" t="s">
        <v>1865</v>
      </c>
      <c r="B10" s="1231">
        <v>-1.9E-3</v>
      </c>
    </row>
  </sheetData>
  <pageMargins left="0.7" right="0.7" top="0.75" bottom="0.75" header="0.3" footer="0.3"/>
  <pageSetup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A3033-1D28-4392-A9F0-85209E5682F2}">
  <sheetPr codeName="Foglio17"/>
  <dimension ref="A2:K100"/>
  <sheetViews>
    <sheetView showGridLines="0" topLeftCell="B12" zoomScaleNormal="100" workbookViewId="0">
      <selection activeCell="B16" sqref="B16"/>
    </sheetView>
  </sheetViews>
  <sheetFormatPr defaultColWidth="9.1796875" defaultRowHeight="14.5" x14ac:dyDescent="0.35"/>
  <cols>
    <col min="1" max="1" width="9.1796875" style="318"/>
    <col min="2" max="2" width="13.81640625" style="318" customWidth="1"/>
    <col min="3" max="3" width="9.1796875" style="318"/>
    <col min="4" max="4" width="44.453125" style="318" customWidth="1"/>
    <col min="5" max="5" width="42.1796875" style="318" customWidth="1"/>
    <col min="6" max="6" width="29.81640625" style="318" customWidth="1"/>
    <col min="7" max="7" width="45.81640625" style="318" customWidth="1"/>
    <col min="8" max="8" width="13.81640625" style="318" customWidth="1"/>
    <col min="9" max="9" width="29.81640625" style="318" customWidth="1"/>
    <col min="10" max="10" width="10.1796875" style="318" bestFit="1" customWidth="1"/>
    <col min="11" max="11" width="9.7265625" style="318" bestFit="1" customWidth="1"/>
    <col min="12" max="16384" width="9.1796875" style="318"/>
  </cols>
  <sheetData>
    <row r="2" spans="1:8" x14ac:dyDescent="0.35">
      <c r="A2" s="317"/>
      <c r="B2" s="317"/>
      <c r="C2" s="317"/>
      <c r="D2" s="317"/>
      <c r="E2" s="317"/>
      <c r="F2" s="590"/>
      <c r="G2" t="s">
        <v>422</v>
      </c>
    </row>
    <row r="3" spans="1:8" x14ac:dyDescent="0.35">
      <c r="A3" s="317"/>
      <c r="B3" s="317"/>
      <c r="C3" s="317"/>
      <c r="D3" s="317"/>
      <c r="E3" s="317"/>
      <c r="F3" s="317"/>
      <c r="G3" s="317"/>
    </row>
    <row r="4" spans="1:8" x14ac:dyDescent="0.35">
      <c r="A4" s="317"/>
      <c r="B4" s="317"/>
      <c r="C4" s="317"/>
      <c r="D4" s="317"/>
      <c r="E4" s="317"/>
      <c r="F4" s="317"/>
      <c r="G4" s="317"/>
    </row>
    <row r="5" spans="1:8" x14ac:dyDescent="0.35">
      <c r="A5" s="317"/>
      <c r="B5" s="317"/>
      <c r="C5" s="317"/>
      <c r="D5" s="317"/>
      <c r="E5" s="317"/>
      <c r="F5" s="317"/>
      <c r="G5" s="317"/>
    </row>
    <row r="6" spans="1:8" x14ac:dyDescent="0.35">
      <c r="A6" s="317"/>
      <c r="B6" s="317"/>
      <c r="C6" s="317"/>
      <c r="D6" s="317"/>
      <c r="E6" s="317"/>
      <c r="F6" s="588" t="s">
        <v>1866</v>
      </c>
      <c r="G6"/>
    </row>
    <row r="7" spans="1:8" x14ac:dyDescent="0.35">
      <c r="A7" s="317"/>
      <c r="B7" s="317"/>
      <c r="C7" s="317"/>
      <c r="D7" s="317"/>
      <c r="E7" s="317"/>
      <c r="F7" s="589"/>
      <c r="G7"/>
    </row>
    <row r="8" spans="1:8" ht="23" x14ac:dyDescent="0.35">
      <c r="A8" s="317"/>
      <c r="B8" s="317"/>
      <c r="C8" s="319" t="s">
        <v>1867</v>
      </c>
      <c r="D8" s="320"/>
      <c r="E8" s="317"/>
      <c r="F8" s="590"/>
      <c r="G8" t="s">
        <v>422</v>
      </c>
    </row>
    <row r="9" spans="1:8" ht="18" customHeight="1" x14ac:dyDescent="0.35">
      <c r="A9" s="317"/>
      <c r="B9" s="602"/>
      <c r="C9"/>
      <c r="D9"/>
      <c r="E9"/>
      <c r="F9" s="591"/>
      <c r="G9" t="s">
        <v>1868</v>
      </c>
    </row>
    <row r="10" spans="1:8" ht="18" customHeight="1" x14ac:dyDescent="0.35">
      <c r="A10" s="317"/>
      <c r="B10" s="317"/>
      <c r="C10"/>
      <c r="D10"/>
      <c r="E10"/>
      <c r="F10"/>
      <c r="G10"/>
    </row>
    <row r="11" spans="1:8" x14ac:dyDescent="0.35">
      <c r="A11" s="317"/>
      <c r="B11" s="317"/>
      <c r="C11"/>
      <c r="D11"/>
      <c r="E11"/>
      <c r="F11"/>
      <c r="G11"/>
    </row>
    <row r="12" spans="1:8" x14ac:dyDescent="0.35">
      <c r="A12" s="317"/>
      <c r="B12" s="317"/>
      <c r="C12" s="322"/>
      <c r="D12" s="317"/>
      <c r="E12" s="317"/>
      <c r="F12" s="317"/>
      <c r="G12" s="317"/>
    </row>
    <row r="13" spans="1:8" ht="81" customHeight="1" x14ac:dyDescent="0.35">
      <c r="A13" s="317"/>
      <c r="B13" s="317"/>
      <c r="C13" s="317" t="s">
        <v>1869</v>
      </c>
      <c r="D13" s="317"/>
      <c r="E13" s="1841" t="s">
        <v>1870</v>
      </c>
      <c r="F13" s="1841"/>
      <c r="G13" s="592" t="s">
        <v>1871</v>
      </c>
    </row>
    <row r="14" spans="1:8" x14ac:dyDescent="0.3">
      <c r="A14" s="317" t="s">
        <v>1872</v>
      </c>
      <c r="B14" s="317"/>
      <c r="C14" s="317" t="s">
        <v>1873</v>
      </c>
      <c r="D14" s="317"/>
      <c r="E14" s="1842"/>
      <c r="F14" s="1843"/>
      <c r="G14" s="1867" t="s">
        <v>1874</v>
      </c>
      <c r="H14" s="1867"/>
    </row>
    <row r="15" spans="1:8" x14ac:dyDescent="0.3">
      <c r="A15" s="317"/>
      <c r="B15" s="317"/>
      <c r="C15" s="317" t="s">
        <v>1875</v>
      </c>
      <c r="D15" s="317"/>
      <c r="E15" s="1844"/>
      <c r="F15" s="1844"/>
      <c r="G15" s="1867" t="s">
        <v>1876</v>
      </c>
      <c r="H15" s="1867"/>
    </row>
    <row r="16" spans="1:8" x14ac:dyDescent="0.35">
      <c r="A16" s="317"/>
      <c r="B16" s="317"/>
      <c r="C16" s="317" t="s">
        <v>1877</v>
      </c>
      <c r="D16" s="317"/>
      <c r="E16" s="1839">
        <v>44561</v>
      </c>
      <c r="F16" s="1840"/>
      <c r="G16" s="589"/>
      <c r="H16"/>
    </row>
    <row r="17" spans="1:9" x14ac:dyDescent="0.35">
      <c r="A17" s="317"/>
      <c r="B17" s="317"/>
      <c r="C17" s="317" t="s">
        <v>1878</v>
      </c>
      <c r="D17" s="317"/>
      <c r="E17" s="1844" t="s">
        <v>1879</v>
      </c>
      <c r="F17" s="1844"/>
      <c r="G17" s="593" t="s">
        <v>1880</v>
      </c>
      <c r="H17"/>
    </row>
    <row r="18" spans="1:9" ht="39.75" customHeight="1" x14ac:dyDescent="0.35">
      <c r="A18" s="317"/>
      <c r="B18" s="317"/>
      <c r="C18" s="317" t="s">
        <v>1881</v>
      </c>
      <c r="D18" s="317"/>
      <c r="E18" s="1841"/>
      <c r="F18" s="1841"/>
      <c r="G18" s="593" t="s">
        <v>1882</v>
      </c>
      <c r="H18"/>
    </row>
    <row r="19" spans="1:9" x14ac:dyDescent="0.35">
      <c r="A19" s="317"/>
      <c r="B19" s="317"/>
      <c r="C19" s="317" t="s">
        <v>1883</v>
      </c>
      <c r="D19" s="317"/>
      <c r="E19" s="1847" t="s">
        <v>1884</v>
      </c>
      <c r="F19" s="1847"/>
      <c r="G19" s="593" t="s">
        <v>1885</v>
      </c>
      <c r="H19"/>
    </row>
    <row r="20" spans="1:9" ht="22.5" customHeight="1" x14ac:dyDescent="0.35">
      <c r="A20" s="317"/>
      <c r="B20" s="317"/>
      <c r="C20" s="317" t="s">
        <v>1886</v>
      </c>
      <c r="D20" s="317"/>
      <c r="E20" s="1844"/>
      <c r="F20" s="1844"/>
      <c r="G20" s="589" t="s">
        <v>1887</v>
      </c>
      <c r="H20"/>
    </row>
    <row r="21" spans="1:9" x14ac:dyDescent="0.35">
      <c r="A21" s="317"/>
      <c r="B21" s="317"/>
      <c r="C21" s="317" t="s">
        <v>1888</v>
      </c>
      <c r="D21" s="317"/>
      <c r="E21" s="1844"/>
      <c r="F21" s="1844"/>
      <c r="G21" s="589" t="s">
        <v>1887</v>
      </c>
      <c r="H21"/>
    </row>
    <row r="22" spans="1:9" x14ac:dyDescent="0.35">
      <c r="A22" s="317"/>
      <c r="B22" s="317"/>
      <c r="C22" s="317" t="s">
        <v>629</v>
      </c>
      <c r="D22" s="317"/>
      <c r="E22" s="1844"/>
      <c r="F22" s="1844"/>
      <c r="G22" s="589" t="s">
        <v>1887</v>
      </c>
      <c r="H22"/>
    </row>
    <row r="23" spans="1:9" x14ac:dyDescent="0.35">
      <c r="A23" s="317"/>
      <c r="B23" s="317"/>
      <c r="C23" s="317" t="s">
        <v>630</v>
      </c>
      <c r="D23" s="317"/>
      <c r="E23" s="1844"/>
      <c r="F23" s="1844"/>
      <c r="G23" s="589" t="s">
        <v>1887</v>
      </c>
      <c r="H23"/>
    </row>
    <row r="24" spans="1:9" x14ac:dyDescent="0.35">
      <c r="A24" s="317"/>
      <c r="B24" s="317"/>
      <c r="C24" s="317" t="s">
        <v>1889</v>
      </c>
      <c r="D24" s="317"/>
      <c r="E24" s="1844"/>
      <c r="F24" s="1844"/>
      <c r="G24" s="589" t="s">
        <v>1887</v>
      </c>
      <c r="H24"/>
    </row>
    <row r="25" spans="1:9" x14ac:dyDescent="0.35">
      <c r="A25" s="317"/>
      <c r="B25" s="317"/>
      <c r="C25" s="317" t="s">
        <v>1890</v>
      </c>
      <c r="D25" s="317"/>
      <c r="E25" s="1848"/>
      <c r="F25" s="1844"/>
      <c r="G25" s="589" t="s">
        <v>1887</v>
      </c>
      <c r="H25"/>
    </row>
    <row r="26" spans="1:9" x14ac:dyDescent="0.35">
      <c r="A26" s="317"/>
      <c r="B26" s="317"/>
      <c r="C26" s="317"/>
      <c r="D26" s="317"/>
      <c r="E26" s="317"/>
      <c r="F26" s="317"/>
      <c r="G26" s="317"/>
    </row>
    <row r="27" spans="1:9" x14ac:dyDescent="0.35">
      <c r="A27" s="317"/>
      <c r="B27" s="317"/>
      <c r="C27" s="322" t="s">
        <v>1891</v>
      </c>
      <c r="D27" s="322"/>
      <c r="E27" s="322"/>
      <c r="F27" s="322"/>
      <c r="G27" s="322"/>
      <c r="H27" s="323"/>
      <c r="I27" s="323"/>
    </row>
    <row r="28" spans="1:9" x14ac:dyDescent="0.35">
      <c r="A28" s="317"/>
      <c r="B28" s="317"/>
      <c r="C28" s="317"/>
      <c r="D28" s="317"/>
      <c r="E28" s="317"/>
      <c r="F28" s="317"/>
      <c r="G28" s="317"/>
    </row>
    <row r="29" spans="1:9" x14ac:dyDescent="0.3">
      <c r="A29" s="317"/>
      <c r="B29" s="317"/>
      <c r="C29" s="317" t="s">
        <v>1892</v>
      </c>
      <c r="D29" s="317"/>
      <c r="E29" s="1844">
        <f>+'Dati riepilogativi'!B1</f>
        <v>0</v>
      </c>
      <c r="F29" s="1844"/>
      <c r="G29" s="589"/>
    </row>
    <row r="30" spans="1:9" ht="48" customHeight="1" x14ac:dyDescent="0.3">
      <c r="A30" s="317"/>
      <c r="B30" s="317"/>
      <c r="C30" s="317" t="s">
        <v>1893</v>
      </c>
      <c r="D30" s="317"/>
      <c r="E30" s="1849" t="s">
        <v>1894</v>
      </c>
      <c r="F30" s="1850"/>
      <c r="G30" s="589"/>
    </row>
    <row r="31" spans="1:9" ht="14.5" customHeight="1" x14ac:dyDescent="0.3">
      <c r="A31" s="317" t="s">
        <v>1872</v>
      </c>
      <c r="B31" s="317"/>
      <c r="C31" s="317" t="s">
        <v>1895</v>
      </c>
      <c r="D31" s="317"/>
      <c r="E31" s="1845" t="s">
        <v>1896</v>
      </c>
      <c r="F31" s="1846"/>
      <c r="G31" s="589"/>
    </row>
    <row r="32" spans="1:9" ht="31.5" customHeight="1" x14ac:dyDescent="0.3">
      <c r="A32" s="317" t="s">
        <v>1897</v>
      </c>
      <c r="B32" s="317"/>
      <c r="C32" s="317" t="s">
        <v>564</v>
      </c>
      <c r="D32" s="317"/>
      <c r="E32" s="1851" t="s">
        <v>1898</v>
      </c>
      <c r="F32" s="1851"/>
      <c r="G32" s="593" t="s">
        <v>1885</v>
      </c>
    </row>
    <row r="33" spans="1:7" ht="34.5" customHeight="1" x14ac:dyDescent="0.3">
      <c r="A33" s="317" t="s">
        <v>1872</v>
      </c>
      <c r="B33" s="317"/>
      <c r="C33" s="317" t="s">
        <v>1899</v>
      </c>
      <c r="D33" s="317"/>
      <c r="E33" s="1845" t="s">
        <v>1900</v>
      </c>
      <c r="F33" s="1846"/>
      <c r="G33" s="589"/>
    </row>
    <row r="34" spans="1:7" ht="33.65" customHeight="1" x14ac:dyDescent="0.3">
      <c r="A34" s="317" t="s">
        <v>1872</v>
      </c>
      <c r="B34" s="317"/>
      <c r="C34" s="317" t="s">
        <v>1901</v>
      </c>
      <c r="D34" s="317"/>
      <c r="E34" s="1852" t="s">
        <v>1902</v>
      </c>
      <c r="F34" s="1852"/>
      <c r="G34" s="593" t="s">
        <v>1903</v>
      </c>
    </row>
    <row r="35" spans="1:7" s="325" customFormat="1" ht="33" customHeight="1" x14ac:dyDescent="0.3">
      <c r="A35" s="324" t="s">
        <v>1872</v>
      </c>
      <c r="B35" s="324"/>
      <c r="C35" s="324" t="s">
        <v>402</v>
      </c>
      <c r="D35" s="324"/>
      <c r="E35" s="1845" t="s">
        <v>1904</v>
      </c>
      <c r="F35" s="1846"/>
      <c r="G35" s="589"/>
    </row>
    <row r="36" spans="1:7" ht="26.15" customHeight="1" x14ac:dyDescent="0.3">
      <c r="A36" s="317"/>
      <c r="B36" s="317"/>
      <c r="C36" s="317" t="s">
        <v>1905</v>
      </c>
      <c r="D36" s="317"/>
      <c r="E36" s="1853">
        <f>+'Dati riepilogativi'!B4</f>
        <v>0</v>
      </c>
      <c r="F36" s="1854"/>
      <c r="G36" s="589"/>
    </row>
    <row r="37" spans="1:7" x14ac:dyDescent="0.25">
      <c r="A37" s="317"/>
      <c r="B37" s="317"/>
      <c r="C37" s="317" t="s">
        <v>1906</v>
      </c>
      <c r="D37" s="317"/>
      <c r="E37" s="1851"/>
      <c r="F37" s="1851"/>
      <c r="G37" s="595" t="s">
        <v>1907</v>
      </c>
    </row>
    <row r="38" spans="1:7" x14ac:dyDescent="0.25">
      <c r="A38" s="317"/>
      <c r="B38" s="317"/>
      <c r="C38" s="317" t="s">
        <v>1908</v>
      </c>
      <c r="D38" s="317"/>
      <c r="E38" s="1851"/>
      <c r="F38" s="1851"/>
      <c r="G38" s="595" t="s">
        <v>1909</v>
      </c>
    </row>
    <row r="39" spans="1:7" x14ac:dyDescent="0.35">
      <c r="A39" s="317"/>
      <c r="B39" s="317"/>
      <c r="C39" s="317"/>
      <c r="D39" s="317"/>
      <c r="E39" s="317"/>
      <c r="F39" s="317"/>
      <c r="G39" s="317"/>
    </row>
    <row r="40" spans="1:7" x14ac:dyDescent="0.35">
      <c r="A40" s="317"/>
      <c r="B40" s="317"/>
      <c r="C40" s="322" t="s">
        <v>1910</v>
      </c>
      <c r="D40" s="317"/>
      <c r="E40" s="317"/>
      <c r="F40" s="317"/>
      <c r="G40" s="317"/>
    </row>
    <row r="41" spans="1:7" x14ac:dyDescent="0.35">
      <c r="A41" s="317"/>
      <c r="B41" s="317"/>
      <c r="C41" s="317"/>
      <c r="D41" s="317"/>
      <c r="E41" s="317"/>
      <c r="F41" s="317"/>
      <c r="G41" s="317"/>
    </row>
    <row r="42" spans="1:7" x14ac:dyDescent="0.25">
      <c r="A42" s="317"/>
      <c r="B42" s="317"/>
      <c r="C42" s="317" t="s">
        <v>1911</v>
      </c>
      <c r="D42" s="317"/>
      <c r="E42" s="1846" t="s">
        <v>428</v>
      </c>
      <c r="F42" s="1846"/>
      <c r="G42" s="317"/>
    </row>
    <row r="43" spans="1:7" x14ac:dyDescent="0.25">
      <c r="A43" s="317"/>
      <c r="B43" s="317"/>
      <c r="C43" s="317" t="s">
        <v>1888</v>
      </c>
      <c r="D43" s="317"/>
      <c r="E43" s="1846" t="s">
        <v>1912</v>
      </c>
      <c r="F43" s="1846"/>
      <c r="G43" s="317"/>
    </row>
    <row r="44" spans="1:7" x14ac:dyDescent="0.25">
      <c r="A44" s="317" t="s">
        <v>1872</v>
      </c>
      <c r="B44" s="317"/>
      <c r="C44" s="317" t="s">
        <v>629</v>
      </c>
      <c r="D44" s="317"/>
      <c r="E44" s="1851"/>
      <c r="F44" s="1851"/>
      <c r="G44" s="317"/>
    </row>
    <row r="45" spans="1:7" x14ac:dyDescent="0.25">
      <c r="A45" s="317" t="s">
        <v>1872</v>
      </c>
      <c r="B45" s="317"/>
      <c r="C45" s="317" t="s">
        <v>628</v>
      </c>
      <c r="D45" s="317"/>
      <c r="E45" s="1851"/>
      <c r="F45" s="1851"/>
      <c r="G45" s="317"/>
    </row>
    <row r="46" spans="1:7" x14ac:dyDescent="0.25">
      <c r="A46" s="317" t="s">
        <v>1872</v>
      </c>
      <c r="B46" s="317"/>
      <c r="C46" s="317" t="s">
        <v>1913</v>
      </c>
      <c r="D46" s="317"/>
      <c r="E46" s="1851"/>
      <c r="F46" s="1851"/>
      <c r="G46" s="317"/>
    </row>
    <row r="47" spans="1:7" x14ac:dyDescent="0.25">
      <c r="A47" s="317" t="s">
        <v>1872</v>
      </c>
      <c r="B47" s="317"/>
      <c r="C47" s="317" t="s">
        <v>1914</v>
      </c>
      <c r="D47" s="317"/>
      <c r="E47" s="1851"/>
      <c r="F47" s="1851"/>
      <c r="G47" s="317"/>
    </row>
    <row r="48" spans="1:7" x14ac:dyDescent="0.35">
      <c r="A48" s="317"/>
      <c r="B48" s="317"/>
      <c r="C48" s="317"/>
      <c r="D48" s="317"/>
      <c r="E48" s="317"/>
      <c r="F48" s="317"/>
      <c r="G48" s="317"/>
    </row>
    <row r="49" spans="1:9" x14ac:dyDescent="0.35">
      <c r="A49" s="317"/>
      <c r="B49" s="317"/>
      <c r="C49" s="317"/>
      <c r="D49" s="317"/>
      <c r="E49" s="317"/>
      <c r="F49" s="317"/>
      <c r="G49" s="317"/>
    </row>
    <row r="50" spans="1:9" x14ac:dyDescent="0.35">
      <c r="A50" s="317"/>
      <c r="B50" s="317"/>
      <c r="C50" s="322" t="s">
        <v>1915</v>
      </c>
      <c r="D50" s="317"/>
      <c r="E50" s="317"/>
      <c r="F50" s="317"/>
      <c r="G50" s="317"/>
    </row>
    <row r="51" spans="1:9" x14ac:dyDescent="0.35">
      <c r="A51" s="317"/>
      <c r="B51" s="317"/>
      <c r="C51" s="317"/>
      <c r="D51" s="317"/>
      <c r="E51" s="326" t="s">
        <v>1916</v>
      </c>
      <c r="F51" s="317"/>
      <c r="G51" s="317"/>
    </row>
    <row r="52" spans="1:9" x14ac:dyDescent="0.35">
      <c r="A52" s="317"/>
      <c r="B52" s="317"/>
      <c r="C52" s="317" t="s">
        <v>1917</v>
      </c>
      <c r="D52" s="317"/>
      <c r="E52" s="1855" t="s">
        <v>143</v>
      </c>
      <c r="F52" s="1846"/>
      <c r="G52" s="589"/>
      <c r="H52" s="596"/>
    </row>
    <row r="53" spans="1:9" x14ac:dyDescent="0.35">
      <c r="A53" s="317"/>
      <c r="B53" s="317"/>
      <c r="C53" s="317" t="s">
        <v>1918</v>
      </c>
      <c r="D53" s="317"/>
      <c r="E53" s="1855" t="s">
        <v>143</v>
      </c>
      <c r="F53" s="1846"/>
      <c r="G53" s="589"/>
      <c r="H53" s="596"/>
    </row>
    <row r="54" spans="1:9" x14ac:dyDescent="0.35">
      <c r="A54" s="317"/>
      <c r="B54" s="317"/>
      <c r="C54" s="317" t="s">
        <v>1919</v>
      </c>
      <c r="D54" s="317"/>
      <c r="E54" s="1855" t="s">
        <v>143</v>
      </c>
      <c r="F54" s="1846"/>
      <c r="G54" s="589"/>
      <c r="H54" s="596"/>
    </row>
    <row r="55" spans="1:9" ht="14.5" customHeight="1" x14ac:dyDescent="0.3">
      <c r="A55" s="317"/>
      <c r="B55" s="317"/>
      <c r="C55" s="317" t="s">
        <v>1920</v>
      </c>
      <c r="D55" s="317"/>
      <c r="E55" s="1856">
        <f>+'Input RNA'!B3</f>
        <v>0</v>
      </c>
      <c r="F55" s="1856"/>
      <c r="G55" s="1868" t="s">
        <v>1921</v>
      </c>
      <c r="H55" s="1868"/>
    </row>
    <row r="56" spans="1:9" x14ac:dyDescent="0.3">
      <c r="A56" s="317"/>
      <c r="B56" s="317"/>
      <c r="C56" s="317" t="s">
        <v>1922</v>
      </c>
      <c r="D56" s="317"/>
      <c r="E56" s="1855"/>
      <c r="F56" s="1846"/>
      <c r="G56" s="1869"/>
      <c r="H56" s="1869"/>
    </row>
    <row r="57" spans="1:9" x14ac:dyDescent="0.35">
      <c r="A57" s="317"/>
      <c r="B57" s="317"/>
      <c r="C57" s="317" t="s">
        <v>1923</v>
      </c>
      <c r="D57" s="317"/>
      <c r="E57" s="1856">
        <f>IF('Dati riepilogativi'!B2="Capo II",'Calcolo contributo CAPO II'!D15,0)</f>
        <v>0</v>
      </c>
      <c r="F57" s="1856"/>
      <c r="G57" s="593" t="s">
        <v>1924</v>
      </c>
      <c r="H57" s="596"/>
    </row>
    <row r="58" spans="1:9" x14ac:dyDescent="0.35">
      <c r="A58" s="317"/>
      <c r="B58" s="317"/>
      <c r="C58" s="317" t="s">
        <v>1925</v>
      </c>
      <c r="D58" s="317"/>
      <c r="E58" s="1855" t="s">
        <v>143</v>
      </c>
      <c r="F58" s="1846"/>
      <c r="G58" s="589"/>
      <c r="H58" s="596"/>
    </row>
    <row r="59" spans="1:9" x14ac:dyDescent="0.35">
      <c r="A59" s="317"/>
      <c r="B59" s="317"/>
      <c r="C59" s="317" t="s">
        <v>1926</v>
      </c>
      <c r="D59" s="317"/>
      <c r="E59" s="1856">
        <f ca="1">IF('Dati riepilogativi'!B2="Capo II",'Calcolo contributo CAPO II'!D14,GBER!D13)</f>
        <v>0</v>
      </c>
      <c r="F59" s="1856"/>
      <c r="G59" s="593" t="s">
        <v>1927</v>
      </c>
      <c r="H59" s="596"/>
    </row>
    <row r="60" spans="1:9" x14ac:dyDescent="0.35">
      <c r="A60" s="317"/>
      <c r="B60" s="317"/>
      <c r="C60" s="317" t="s">
        <v>1928</v>
      </c>
      <c r="D60" s="317"/>
      <c r="E60" s="1856">
        <f>IF('Dati riepilogativi'!B2="Capo II",'Calcolo contributo CAPO II'!D12,GBER!D10)</f>
        <v>0</v>
      </c>
      <c r="F60" s="1856"/>
      <c r="G60" s="593" t="s">
        <v>1924</v>
      </c>
      <c r="H60" s="596" t="s">
        <v>1929</v>
      </c>
    </row>
    <row r="61" spans="1:9" x14ac:dyDescent="0.35">
      <c r="A61" s="317"/>
      <c r="B61" s="317"/>
      <c r="C61" s="317" t="s">
        <v>1930</v>
      </c>
      <c r="D61" s="317"/>
      <c r="E61" s="1856">
        <f>IF('Dati riepilogativi'!B2="Capo II",'Calcolo contributo CAPO II'!D13,GBER!D11)</f>
        <v>0</v>
      </c>
      <c r="F61" s="1856"/>
      <c r="G61" s="593" t="s">
        <v>1924</v>
      </c>
      <c r="H61" s="596"/>
    </row>
    <row r="62" spans="1:9" x14ac:dyDescent="0.35">
      <c r="A62" s="317"/>
      <c r="B62" s="317"/>
      <c r="C62" s="317" t="s">
        <v>1931</v>
      </c>
      <c r="D62" s="317"/>
      <c r="E62" s="1856">
        <f>IF('Dati riepilogativi'!B2="Capo II",'Calcolo contributo CAPO II'!D16+'Calcolo contributo CAPO II'!D17,0)</f>
        <v>0</v>
      </c>
      <c r="F62" s="1856"/>
      <c r="G62" s="593" t="s">
        <v>1932</v>
      </c>
      <c r="H62" s="596"/>
    </row>
    <row r="63" spans="1:9" x14ac:dyDescent="0.35">
      <c r="A63" s="317"/>
      <c r="B63" s="317"/>
      <c r="C63" s="317" t="s">
        <v>1933</v>
      </c>
      <c r="D63" s="317"/>
      <c r="E63" s="1856">
        <f ca="1">IF('Dati riepilogativi'!B2="Capo III",GBER!D9,0)</f>
        <v>0</v>
      </c>
      <c r="F63" s="1856"/>
      <c r="G63" s="593" t="s">
        <v>1924</v>
      </c>
      <c r="H63" s="596" t="s">
        <v>1934</v>
      </c>
    </row>
    <row r="64" spans="1:9" ht="28.5" x14ac:dyDescent="0.35">
      <c r="A64" s="317" t="s">
        <v>1872</v>
      </c>
      <c r="B64" s="317"/>
      <c r="C64" s="317" t="s">
        <v>1935</v>
      </c>
      <c r="D64" s="317"/>
      <c r="E64" s="1856">
        <f ca="1">SUM(E55+E57+E59+E60+E61+E62+E63)</f>
        <v>0</v>
      </c>
      <c r="F64" s="1856"/>
      <c r="G64" s="597" t="s">
        <v>1936</v>
      </c>
      <c r="H64" s="596"/>
      <c r="I64" s="327"/>
    </row>
    <row r="65" spans="1:11" x14ac:dyDescent="0.35">
      <c r="A65" s="317" t="s">
        <v>1872</v>
      </c>
      <c r="B65" s="317"/>
      <c r="C65" s="317" t="s">
        <v>1937</v>
      </c>
      <c r="D65" s="317"/>
      <c r="E65" s="1856">
        <f>+'Input RNA'!B6</f>
        <v>0</v>
      </c>
      <c r="F65" s="1856"/>
      <c r="G65" s="593" t="s">
        <v>1938</v>
      </c>
      <c r="H65" s="596"/>
      <c r="K65" s="327"/>
    </row>
    <row r="66" spans="1:11" x14ac:dyDescent="0.35">
      <c r="A66" s="317" t="s">
        <v>1872</v>
      </c>
      <c r="B66" s="317"/>
      <c r="C66" s="317" t="s">
        <v>1939</v>
      </c>
      <c r="D66" s="317"/>
      <c r="E66" s="1845" t="s">
        <v>1940</v>
      </c>
      <c r="F66" s="1845"/>
      <c r="G66" s="589"/>
      <c r="H66"/>
    </row>
    <row r="67" spans="1:11" x14ac:dyDescent="0.35">
      <c r="A67" s="317"/>
      <c r="B67" s="317"/>
      <c r="C67" s="317"/>
      <c r="D67" s="317"/>
      <c r="E67" s="317"/>
      <c r="F67" s="317"/>
      <c r="G67" s="317"/>
    </row>
    <row r="68" spans="1:11" x14ac:dyDescent="0.35">
      <c r="A68" s="317"/>
      <c r="B68" s="317"/>
      <c r="C68" s="599" t="s">
        <v>1941</v>
      </c>
      <c r="D68" s="600"/>
      <c r="E68" s="600"/>
      <c r="F68" s="600"/>
      <c r="G68" s="589"/>
      <c r="H68"/>
      <c r="I68"/>
    </row>
    <row r="69" spans="1:11" x14ac:dyDescent="0.35">
      <c r="A69" s="317"/>
      <c r="B69" s="317"/>
      <c r="C69" s="600"/>
      <c r="D69" s="600"/>
      <c r="E69" s="600"/>
      <c r="F69" s="600"/>
      <c r="G69" s="589"/>
      <c r="H69"/>
      <c r="I69"/>
    </row>
    <row r="70" spans="1:11" x14ac:dyDescent="0.35">
      <c r="A70" s="317"/>
      <c r="B70" s="317"/>
      <c r="C70" s="600" t="s">
        <v>1942</v>
      </c>
      <c r="D70" s="600"/>
      <c r="E70" s="1846" t="s">
        <v>1943</v>
      </c>
      <c r="F70" s="1846"/>
      <c r="G70" s="594" t="s">
        <v>1776</v>
      </c>
      <c r="H70" s="594" t="s">
        <v>1944</v>
      </c>
      <c r="I70"/>
    </row>
    <row r="71" spans="1:11" ht="75" customHeight="1" x14ac:dyDescent="0.35">
      <c r="A71" s="317"/>
      <c r="B71" s="317"/>
      <c r="C71" s="600" t="s">
        <v>1945</v>
      </c>
      <c r="D71" s="600"/>
      <c r="E71" s="1846" t="s">
        <v>1943</v>
      </c>
      <c r="F71" s="1846"/>
      <c r="G71" s="594" t="s">
        <v>1946</v>
      </c>
      <c r="H71" s="594" t="s">
        <v>1946</v>
      </c>
      <c r="I71"/>
    </row>
    <row r="72" spans="1:11" ht="75" customHeight="1" x14ac:dyDescent="0.35">
      <c r="A72" s="317"/>
      <c r="B72" s="317"/>
      <c r="C72" s="600" t="s">
        <v>1947</v>
      </c>
      <c r="D72" s="600"/>
      <c r="E72" s="1870" t="s">
        <v>1948</v>
      </c>
      <c r="F72" s="1845"/>
      <c r="G72" s="601" t="s">
        <v>1949</v>
      </c>
      <c r="H72" s="601" t="s">
        <v>1949</v>
      </c>
      <c r="I72"/>
    </row>
    <row r="73" spans="1:11" ht="75.650000000000006" customHeight="1" x14ac:dyDescent="0.35">
      <c r="A73" s="317"/>
      <c r="B73" s="317"/>
      <c r="C73" s="317" t="s">
        <v>1950</v>
      </c>
      <c r="D73" s="317"/>
      <c r="E73" s="1871" t="s">
        <v>1951</v>
      </c>
      <c r="F73" s="1872"/>
      <c r="G73" s="791" t="str">
        <f>IF('Dati riepilogativi'!B2="Capo II","Aiuti alle imprese in fase di avviamento (art. 22)","Aiuti agli investimenti a favore delle PMI (art. 17)")</f>
        <v>Aiuti agli investimenti a favore delle PMI (art. 17)</v>
      </c>
      <c r="H73" s="791" t="str">
        <f>+G73</f>
        <v>Aiuti agli investimenti a favore delle PMI (art. 17)</v>
      </c>
      <c r="I73" s="790" t="s">
        <v>1952</v>
      </c>
    </row>
    <row r="74" spans="1:11" x14ac:dyDescent="0.35">
      <c r="A74" s="317"/>
      <c r="B74" s="317"/>
      <c r="C74" s="600" t="s">
        <v>1953</v>
      </c>
      <c r="D74" s="600"/>
      <c r="E74" s="1855" t="s">
        <v>428</v>
      </c>
      <c r="F74" s="1846"/>
      <c r="G74" s="598" t="s">
        <v>428</v>
      </c>
      <c r="H74" s="598" t="s">
        <v>428</v>
      </c>
      <c r="I74"/>
    </row>
    <row r="75" spans="1:11" x14ac:dyDescent="0.35">
      <c r="A75" s="317"/>
      <c r="B75" s="317"/>
      <c r="C75" s="600" t="s">
        <v>1954</v>
      </c>
      <c r="D75" s="600"/>
      <c r="E75" s="1846" t="s">
        <v>1563</v>
      </c>
      <c r="F75" s="1846"/>
      <c r="G75" s="594" t="s">
        <v>1563</v>
      </c>
      <c r="H75" s="594" t="s">
        <v>1563</v>
      </c>
      <c r="I75"/>
    </row>
    <row r="76" spans="1:11" x14ac:dyDescent="0.35">
      <c r="A76" s="317"/>
      <c r="B76" s="317"/>
      <c r="C76" s="600" t="s">
        <v>1955</v>
      </c>
      <c r="D76" s="600"/>
      <c r="E76" s="1855" t="s">
        <v>143</v>
      </c>
      <c r="F76" s="1846"/>
      <c r="G76" s="598"/>
      <c r="H76" s="598"/>
      <c r="I76"/>
    </row>
    <row r="77" spans="1:11" s="329" customFormat="1" ht="42.75" customHeight="1" x14ac:dyDescent="0.35">
      <c r="A77" s="328"/>
      <c r="B77" s="328"/>
      <c r="C77" s="600" t="s">
        <v>1956</v>
      </c>
      <c r="D77" s="600"/>
      <c r="E77" s="1855" t="s">
        <v>143</v>
      </c>
      <c r="F77" s="1846"/>
      <c r="G77" s="598"/>
      <c r="H77" s="598"/>
      <c r="I77"/>
    </row>
    <row r="78" spans="1:11" x14ac:dyDescent="0.35">
      <c r="A78" s="317"/>
      <c r="B78" s="317"/>
      <c r="C78" s="317"/>
      <c r="D78" s="317"/>
      <c r="E78" s="317"/>
      <c r="F78" s="317"/>
      <c r="G78" s="317"/>
    </row>
    <row r="79" spans="1:11" x14ac:dyDescent="0.35">
      <c r="A79" s="317"/>
      <c r="B79" s="317"/>
      <c r="C79" s="322" t="s">
        <v>1957</v>
      </c>
      <c r="D79" s="317"/>
      <c r="E79" s="317"/>
      <c r="F79" s="317"/>
      <c r="G79" s="317"/>
    </row>
    <row r="80" spans="1:11" x14ac:dyDescent="0.35">
      <c r="A80" s="317"/>
      <c r="B80" s="317"/>
      <c r="C80" s="317"/>
      <c r="D80" s="317"/>
      <c r="E80" s="317"/>
      <c r="F80" s="317"/>
      <c r="G80" s="317"/>
    </row>
    <row r="81" spans="1:9" ht="21.75" customHeight="1" x14ac:dyDescent="0.3">
      <c r="A81" s="317" t="s">
        <v>1872</v>
      </c>
      <c r="B81" s="317"/>
      <c r="C81" s="317" t="s">
        <v>1958</v>
      </c>
      <c r="D81" s="317"/>
      <c r="E81" s="1860">
        <f>+'Dati riepilogativi'!B3</f>
        <v>0</v>
      </c>
      <c r="F81" s="1861"/>
      <c r="G81" s="593" t="s">
        <v>1959</v>
      </c>
    </row>
    <row r="82" spans="1:9" x14ac:dyDescent="0.35">
      <c r="A82" s="317"/>
      <c r="B82" s="317"/>
      <c r="C82" s="317"/>
      <c r="D82" s="317"/>
      <c r="E82" s="317"/>
      <c r="F82" s="317"/>
      <c r="G82" s="317"/>
    </row>
    <row r="83" spans="1:9" x14ac:dyDescent="0.35">
      <c r="A83" s="317"/>
      <c r="B83" s="317"/>
      <c r="C83" s="317"/>
      <c r="D83" s="317"/>
      <c r="E83" s="317"/>
      <c r="F83" s="317"/>
      <c r="G83" s="317"/>
    </row>
    <row r="84" spans="1:9" x14ac:dyDescent="0.35">
      <c r="A84" s="317"/>
      <c r="B84" s="317"/>
      <c r="C84" s="322" t="s">
        <v>1960</v>
      </c>
      <c r="D84" s="317"/>
      <c r="E84" s="317"/>
      <c r="F84" s="317"/>
      <c r="G84" s="317"/>
    </row>
    <row r="85" spans="1:9" x14ac:dyDescent="0.35">
      <c r="A85" s="317"/>
      <c r="B85" s="317"/>
      <c r="C85" s="1862" t="s">
        <v>1961</v>
      </c>
      <c r="D85" s="1863"/>
      <c r="E85" s="330" t="s">
        <v>1962</v>
      </c>
      <c r="F85" s="330" t="s">
        <v>1963</v>
      </c>
      <c r="G85" s="330" t="s">
        <v>1964</v>
      </c>
    </row>
    <row r="86" spans="1:9" ht="27.75" hidden="1" customHeight="1" x14ac:dyDescent="0.35">
      <c r="A86" s="317"/>
      <c r="B86" s="317"/>
      <c r="C86" s="1864" t="s">
        <v>1965</v>
      </c>
      <c r="D86" s="1865"/>
      <c r="E86" s="331"/>
      <c r="F86" s="332"/>
      <c r="G86" s="331"/>
    </row>
    <row r="87" spans="1:9" s="335" customFormat="1" ht="38.25" hidden="1" customHeight="1" x14ac:dyDescent="0.35">
      <c r="A87" s="321"/>
      <c r="B87" s="321"/>
      <c r="C87" s="1858" t="s">
        <v>1966</v>
      </c>
      <c r="D87" s="1866"/>
      <c r="E87" s="333"/>
      <c r="F87" s="333"/>
      <c r="G87" s="334"/>
    </row>
    <row r="88" spans="1:9" s="335" customFormat="1" ht="35.25" customHeight="1" x14ac:dyDescent="0.35">
      <c r="A88" s="321"/>
      <c r="B88" s="336" t="s">
        <v>1967</v>
      </c>
      <c r="C88" s="1858" t="s">
        <v>1968</v>
      </c>
      <c r="D88" s="1866"/>
      <c r="E88" s="337">
        <f ca="1">+Foglio2!D44</f>
        <v>0</v>
      </c>
      <c r="F88" s="337">
        <f ca="1">+E88</f>
        <v>0</v>
      </c>
      <c r="G88" s="585">
        <v>1</v>
      </c>
    </row>
    <row r="89" spans="1:9" ht="40.5" hidden="1" customHeight="1" x14ac:dyDescent="0.35">
      <c r="A89" s="317"/>
      <c r="B89" s="336"/>
      <c r="C89" s="1858" t="s">
        <v>1969</v>
      </c>
      <c r="D89" s="1866"/>
      <c r="E89" s="339"/>
      <c r="F89" s="340"/>
      <c r="G89" s="341"/>
    </row>
    <row r="90" spans="1:9" ht="35.25" customHeight="1" x14ac:dyDescent="0.35">
      <c r="A90" s="317"/>
      <c r="B90" s="336" t="s">
        <v>1970</v>
      </c>
      <c r="C90" s="1858" t="s">
        <v>1968</v>
      </c>
      <c r="D90" s="1866"/>
      <c r="E90" s="342">
        <f>+'Input RNA'!B8</f>
        <v>0</v>
      </c>
      <c r="F90" s="342" t="e">
        <f ca="1">+Foglio2!E41</f>
        <v>#DIV/0!</v>
      </c>
      <c r="G90" s="343" t="e">
        <f ca="1">+Foglio2!D41</f>
        <v>#DIV/0!</v>
      </c>
      <c r="H90" s="344"/>
      <c r="I90" s="327"/>
    </row>
    <row r="91" spans="1:9" ht="35.25" customHeight="1" x14ac:dyDescent="0.35">
      <c r="A91" s="317"/>
      <c r="B91" s="336" t="s">
        <v>1970</v>
      </c>
      <c r="C91" s="1857" t="s">
        <v>1965</v>
      </c>
      <c r="D91" s="1858"/>
      <c r="E91" s="1258">
        <f>+'Input RNA'!B7</f>
        <v>0</v>
      </c>
      <c r="F91" s="1257">
        <f ca="1">+Foglio2!D46</f>
        <v>0</v>
      </c>
      <c r="G91" s="345" t="e">
        <f ca="1">+Foglio2!D47</f>
        <v>#DIV/0!</v>
      </c>
      <c r="H91" s="344"/>
      <c r="I91" s="327"/>
    </row>
    <row r="92" spans="1:9" ht="15" thickBot="1" x14ac:dyDescent="0.4"/>
    <row r="93" spans="1:9" ht="18.75" customHeight="1" x14ac:dyDescent="0.35">
      <c r="C93" s="346" t="s">
        <v>1971</v>
      </c>
      <c r="D93" s="347"/>
      <c r="E93" s="347"/>
      <c r="F93" s="348" t="e">
        <f ca="1">+F90+F88+F91</f>
        <v>#DIV/0!</v>
      </c>
    </row>
    <row r="95" spans="1:9" x14ac:dyDescent="0.35">
      <c r="C95" s="1859" t="s">
        <v>1972</v>
      </c>
      <c r="D95" s="1859"/>
      <c r="E95" s="1859"/>
      <c r="F95" s="1859"/>
      <c r="G95" s="1859"/>
    </row>
    <row r="97" spans="5:7" ht="45" hidden="1" customHeight="1" x14ac:dyDescent="0.35">
      <c r="E97" s="349" t="s">
        <v>1962</v>
      </c>
      <c r="F97" s="349" t="s">
        <v>1973</v>
      </c>
      <c r="G97" s="350" t="s">
        <v>1964</v>
      </c>
    </row>
    <row r="98" spans="5:7" ht="33" hidden="1" customHeight="1" x14ac:dyDescent="0.35">
      <c r="E98" s="351" t="s">
        <v>1974</v>
      </c>
      <c r="F98" s="351" t="s">
        <v>1974</v>
      </c>
      <c r="G98" s="338">
        <v>1</v>
      </c>
    </row>
    <row r="99" spans="5:7" ht="63" hidden="1" customHeight="1" x14ac:dyDescent="0.35">
      <c r="E99" s="352" t="s">
        <v>1975</v>
      </c>
      <c r="F99" s="352" t="s">
        <v>1975</v>
      </c>
      <c r="G99" s="352" t="s">
        <v>1976</v>
      </c>
    </row>
    <row r="100" spans="5:7" ht="59.25" hidden="1" customHeight="1" x14ac:dyDescent="0.35">
      <c r="E100" s="353" t="s">
        <v>1977</v>
      </c>
      <c r="F100" s="354" t="s">
        <v>1978</v>
      </c>
      <c r="G100" s="353" t="s">
        <v>1979</v>
      </c>
    </row>
  </sheetData>
  <dataConsolidate/>
  <mergeCells count="65">
    <mergeCell ref="G14:H14"/>
    <mergeCell ref="G15:H15"/>
    <mergeCell ref="G55:H55"/>
    <mergeCell ref="G56:H56"/>
    <mergeCell ref="C90:D90"/>
    <mergeCell ref="E77:F77"/>
    <mergeCell ref="E63:F63"/>
    <mergeCell ref="E64:F64"/>
    <mergeCell ref="E65:F65"/>
    <mergeCell ref="E66:F66"/>
    <mergeCell ref="E70:F70"/>
    <mergeCell ref="E71:F71"/>
    <mergeCell ref="E72:F72"/>
    <mergeCell ref="E73:F73"/>
    <mergeCell ref="E74:F74"/>
    <mergeCell ref="E75:F75"/>
    <mergeCell ref="C91:D91"/>
    <mergeCell ref="C95:G95"/>
    <mergeCell ref="E81:F81"/>
    <mergeCell ref="C85:D85"/>
    <mergeCell ref="C86:D86"/>
    <mergeCell ref="C87:D87"/>
    <mergeCell ref="C88:D88"/>
    <mergeCell ref="C89:D89"/>
    <mergeCell ref="E76:F76"/>
    <mergeCell ref="E62:F62"/>
    <mergeCell ref="E47:F47"/>
    <mergeCell ref="E52:F52"/>
    <mergeCell ref="E53:F53"/>
    <mergeCell ref="E54:F54"/>
    <mergeCell ref="E55:F55"/>
    <mergeCell ref="E56:F56"/>
    <mergeCell ref="E57:F57"/>
    <mergeCell ref="E58:F58"/>
    <mergeCell ref="E59:F59"/>
    <mergeCell ref="E60:F60"/>
    <mergeCell ref="E61:F61"/>
    <mergeCell ref="E46:F46"/>
    <mergeCell ref="E32:F32"/>
    <mergeCell ref="E33:F33"/>
    <mergeCell ref="E34:F34"/>
    <mergeCell ref="E35:F35"/>
    <mergeCell ref="E36:F36"/>
    <mergeCell ref="E37:F37"/>
    <mergeCell ref="E38:F38"/>
    <mergeCell ref="E42:F42"/>
    <mergeCell ref="E43:F43"/>
    <mergeCell ref="E44:F44"/>
    <mergeCell ref="E45:F45"/>
    <mergeCell ref="E16:F16"/>
    <mergeCell ref="E13:F13"/>
    <mergeCell ref="E14:F14"/>
    <mergeCell ref="E15:F15"/>
    <mergeCell ref="E31:F31"/>
    <mergeCell ref="E17:F17"/>
    <mergeCell ref="E18:F18"/>
    <mergeCell ref="E19:F19"/>
    <mergeCell ref="E20:F20"/>
    <mergeCell ref="E21:F21"/>
    <mergeCell ref="E22:F22"/>
    <mergeCell ref="E23:F23"/>
    <mergeCell ref="E24:F24"/>
    <mergeCell ref="E25:F25"/>
    <mergeCell ref="E29:F29"/>
    <mergeCell ref="E30:F30"/>
  </mergeCells>
  <printOptions horizontalCentered="1"/>
  <pageMargins left="0" right="0" top="0" bottom="0" header="0" footer="0"/>
  <pageSetup paperSize="9" scale="70" orientation="portrait" r:id="rId1"/>
  <rowBreaks count="1" manualBreakCount="1">
    <brk id="67" max="7" man="1"/>
  </rowBreaks>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20EEE-61C7-455A-AC18-1B300C8F6BCC}">
  <sheetPr codeName="Foglio18"/>
  <dimension ref="A1:D22"/>
  <sheetViews>
    <sheetView zoomScaleNormal="100" workbookViewId="0">
      <selection activeCell="B16" sqref="B16"/>
    </sheetView>
  </sheetViews>
  <sheetFormatPr defaultRowHeight="14.5" x14ac:dyDescent="0.35"/>
  <cols>
    <col min="1" max="1" width="41.81640625" customWidth="1"/>
    <col min="2" max="2" width="17.81640625" customWidth="1"/>
    <col min="3" max="3" width="26.81640625" customWidth="1"/>
    <col min="4" max="4" width="2.81640625" customWidth="1"/>
  </cols>
  <sheetData>
    <row r="1" spans="1:4" ht="15.5" x14ac:dyDescent="0.35">
      <c r="A1" s="605" t="str">
        <f>+CONCATENATE('Dati riepilogativi'!$B$1,"_Coperture Finanziarie Progetto")</f>
        <v>_Coperture Finanziarie Progetto</v>
      </c>
    </row>
    <row r="3" spans="1:4" ht="15" thickBot="1" x14ac:dyDescent="0.4"/>
    <row r="4" spans="1:4" x14ac:dyDescent="0.35">
      <c r="A4" s="1685" t="s">
        <v>11</v>
      </c>
      <c r="B4" s="160" t="s">
        <v>12</v>
      </c>
    </row>
    <row r="5" spans="1:4" ht="15" thickBot="1" x14ac:dyDescent="0.4">
      <c r="A5" s="1686"/>
      <c r="B5" s="162" t="s">
        <v>13</v>
      </c>
    </row>
    <row r="6" spans="1:4" ht="15" thickBot="1" x14ac:dyDescent="0.4">
      <c r="A6" s="163" t="s">
        <v>14</v>
      </c>
      <c r="B6" s="260">
        <f>+IF(Simulazione!$AB$48&gt;0,Simulazione!AB44,'Fonti-Impieghi'!E5)</f>
        <v>0</v>
      </c>
    </row>
    <row r="7" spans="1:4" ht="15" thickBot="1" x14ac:dyDescent="0.4">
      <c r="A7" s="163" t="s">
        <v>15</v>
      </c>
      <c r="B7" s="260">
        <f>+IF(Simulazione!$AB$48&gt;0,Simulazione!AB45,'Fonti-Impieghi'!E6)</f>
        <v>0</v>
      </c>
    </row>
    <row r="8" spans="1:4" ht="15" thickBot="1" x14ac:dyDescent="0.4">
      <c r="A8" s="163" t="s">
        <v>16</v>
      </c>
      <c r="B8" s="260">
        <f>+IF(Simulazione!$AB$48&gt;0,Simulazione!AB46,'Fonti-Impieghi'!E7)</f>
        <v>0</v>
      </c>
    </row>
    <row r="9" spans="1:4" ht="15" thickBot="1" x14ac:dyDescent="0.4">
      <c r="A9" s="164" t="s">
        <v>17</v>
      </c>
      <c r="B9" s="260">
        <f>+IF(Simulazione!$AB$48&gt;0,Simulazione!AB47,'Fonti-Impieghi'!E8)</f>
        <v>0</v>
      </c>
    </row>
    <row r="10" spans="1:4" ht="15" thickBot="1" x14ac:dyDescent="0.4">
      <c r="A10" s="165" t="s">
        <v>18</v>
      </c>
      <c r="B10" s="260">
        <f>SUM(B6:B9)</f>
        <v>0</v>
      </c>
    </row>
    <row r="11" spans="1:4" ht="15" thickBot="1" x14ac:dyDescent="0.4">
      <c r="A11" s="1687"/>
      <c r="B11" s="1689"/>
    </row>
    <row r="12" spans="1:4" ht="58.5" thickBot="1" x14ac:dyDescent="0.4">
      <c r="A12" s="604" t="s">
        <v>1980</v>
      </c>
      <c r="B12" s="263">
        <f>IF(Simulazione!$AB$48&gt;0,Simulazione!AB50,'Fonti-Impieghi'!E11)</f>
        <v>0</v>
      </c>
      <c r="C12" s="1873"/>
      <c r="D12" s="1874"/>
    </row>
    <row r="13" spans="1:4" ht="15" thickBot="1" x14ac:dyDescent="0.4">
      <c r="A13" s="1687"/>
      <c r="B13" s="1689"/>
    </row>
    <row r="14" spans="1:4" ht="15" thickBot="1" x14ac:dyDescent="0.4">
      <c r="A14" s="167" t="s">
        <v>25</v>
      </c>
      <c r="B14" s="262">
        <f>+SUM(B15:B17)</f>
        <v>0</v>
      </c>
    </row>
    <row r="15" spans="1:4" ht="15" thickBot="1" x14ac:dyDescent="0.4">
      <c r="A15" s="164" t="s">
        <v>26</v>
      </c>
      <c r="B15" s="262">
        <f>+IF(Simulazione!$AB$48&gt;0,Simulazione!AB57,'Fonti-Impieghi'!E18)</f>
        <v>0</v>
      </c>
    </row>
    <row r="16" spans="1:4" ht="15" thickBot="1" x14ac:dyDescent="0.4">
      <c r="A16" s="164" t="s">
        <v>27</v>
      </c>
      <c r="B16" s="262">
        <f>+IF(Simulazione!$AB$48&gt;0,Simulazione!AB58,'Fonti-Impieghi'!E19)</f>
        <v>0</v>
      </c>
    </row>
    <row r="17" spans="1:2" ht="15" thickBot="1" x14ac:dyDescent="0.4">
      <c r="A17" s="164" t="s">
        <v>28</v>
      </c>
      <c r="B17" s="262">
        <f>+IF(Simulazione!$AB$48&gt;0,Simulazione!AB59,'Fonti-Impieghi'!E20)</f>
        <v>0</v>
      </c>
    </row>
    <row r="18" spans="1:2" ht="15" thickBot="1" x14ac:dyDescent="0.4">
      <c r="A18" s="168" t="s">
        <v>29</v>
      </c>
      <c r="B18" s="262">
        <f>SUM(B19:B20)</f>
        <v>0</v>
      </c>
    </row>
    <row r="19" spans="1:2" ht="15" thickBot="1" x14ac:dyDescent="0.4">
      <c r="A19" s="164" t="s">
        <v>30</v>
      </c>
      <c r="B19" s="262">
        <f>+IF(Simulazione!$AB$48&gt;0,Simulazione!AB61,'Fonti-Impieghi'!E22)</f>
        <v>0</v>
      </c>
    </row>
    <row r="20" spans="1:2" ht="15" thickBot="1" x14ac:dyDescent="0.4">
      <c r="A20" s="164" t="s">
        <v>31</v>
      </c>
      <c r="B20" s="262">
        <f>+IF(Simulazione!$AB$48&gt;0,Simulazione!AB62,'Fonti-Impieghi'!E23)</f>
        <v>0</v>
      </c>
    </row>
    <row r="21" spans="1:2" ht="15" thickBot="1" x14ac:dyDescent="0.4">
      <c r="A21" s="1687"/>
      <c r="B21" s="1689"/>
    </row>
    <row r="22" spans="1:2" ht="15" thickBot="1" x14ac:dyDescent="0.4">
      <c r="A22" s="238" t="s">
        <v>32</v>
      </c>
      <c r="B22" s="261">
        <f>B18+B14+B12</f>
        <v>0</v>
      </c>
    </row>
  </sheetData>
  <mergeCells count="5">
    <mergeCell ref="A4:A5"/>
    <mergeCell ref="A11:B11"/>
    <mergeCell ref="A13:B13"/>
    <mergeCell ref="A21:B21"/>
    <mergeCell ref="C12:D12"/>
  </mergeCells>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2945" r:id="rId4" name="Button 1">
              <controlPr defaultSize="0" print="0" autoFill="0" autoPict="0" macro="[0]!Macro2">
                <anchor moveWithCells="1" sizeWithCells="1">
                  <from>
                    <xdr:col>2</xdr:col>
                    <xdr:colOff>488950</xdr:colOff>
                    <xdr:row>0</xdr:row>
                    <xdr:rowOff>95250</xdr:rowOff>
                  </from>
                  <to>
                    <xdr:col>4</xdr:col>
                    <xdr:colOff>69850</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70075-880B-425C-BFBC-2C68EF2A0680}">
  <sheetPr codeName="Foglio19"/>
  <dimension ref="A1:J37"/>
  <sheetViews>
    <sheetView zoomScale="70" zoomScaleNormal="70" workbookViewId="0">
      <selection activeCell="B16" sqref="B16"/>
    </sheetView>
  </sheetViews>
  <sheetFormatPr defaultColWidth="9.1796875" defaultRowHeight="14.5" x14ac:dyDescent="0.35"/>
  <cols>
    <col min="1" max="1" width="41.81640625" style="608" customWidth="1"/>
    <col min="2" max="2" width="36.26953125" style="608" customWidth="1"/>
    <col min="3" max="3" width="23.1796875" style="608" customWidth="1"/>
    <col min="4" max="4" width="17.81640625" style="608" customWidth="1"/>
    <col min="5" max="5" width="26.81640625" style="608" customWidth="1"/>
    <col min="6" max="6" width="21.54296875" style="608" hidden="1" customWidth="1"/>
    <col min="7" max="8" width="41.81640625" style="608" customWidth="1"/>
    <col min="9" max="9" width="17" style="608" customWidth="1"/>
    <col min="10" max="10" width="17.81640625" style="608" customWidth="1"/>
    <col min="11" max="16384" width="9.1796875" style="608"/>
  </cols>
  <sheetData>
    <row r="1" spans="1:10" ht="15.5" x14ac:dyDescent="0.35">
      <c r="A1" s="785" t="str">
        <f>+CONCATENATE('Dati riepilogativi'!$B$1,"_Programma delle spese")</f>
        <v>_Programma delle spese</v>
      </c>
      <c r="B1" s="785"/>
      <c r="C1" s="608" t="s">
        <v>373</v>
      </c>
      <c r="G1" s="785" t="str">
        <f>+CONCATENATE('Dati riepilogativi'!$B$1,"_Programma delle spese")</f>
        <v>_Programma delle spese</v>
      </c>
      <c r="H1" s="785"/>
      <c r="I1" s="785"/>
      <c r="J1" s="608" t="s">
        <v>34</v>
      </c>
    </row>
    <row r="3" spans="1:10" ht="15" thickBot="1" x14ac:dyDescent="0.4"/>
    <row r="4" spans="1:10" ht="21" customHeight="1" x14ac:dyDescent="0.35">
      <c r="A4" s="1876" t="s">
        <v>1981</v>
      </c>
      <c r="B4" s="1898" t="s">
        <v>1982</v>
      </c>
      <c r="C4" s="841" t="s">
        <v>1983</v>
      </c>
      <c r="D4" s="160" t="s">
        <v>1984</v>
      </c>
      <c r="G4" s="1878" t="s">
        <v>1981</v>
      </c>
      <c r="H4" s="1896" t="s">
        <v>1982</v>
      </c>
      <c r="I4" s="160" t="s">
        <v>1983</v>
      </c>
      <c r="J4" s="160" t="s">
        <v>1984</v>
      </c>
    </row>
    <row r="5" spans="1:10" ht="15" thickBot="1" x14ac:dyDescent="0.4">
      <c r="A5" s="1877"/>
      <c r="B5" s="1899"/>
      <c r="C5" s="842" t="s">
        <v>13</v>
      </c>
      <c r="D5" s="162" t="s">
        <v>13</v>
      </c>
      <c r="G5" s="1879"/>
      <c r="H5" s="1897"/>
      <c r="I5" s="162" t="s">
        <v>13</v>
      </c>
      <c r="J5" s="162" t="s">
        <v>13</v>
      </c>
    </row>
    <row r="6" spans="1:10" x14ac:dyDescent="0.35">
      <c r="A6" s="1887" t="s">
        <v>579</v>
      </c>
      <c r="B6" s="836"/>
      <c r="C6" s="1880">
        <f>+'Programma di spesa ammesso'!D4</f>
        <v>0</v>
      </c>
      <c r="D6" s="1880">
        <f ca="1">+'Programma di spesa ammesso'!F4</f>
        <v>0</v>
      </c>
      <c r="E6" s="632">
        <f>180000/1500000</f>
        <v>0.12</v>
      </c>
      <c r="G6" s="1893" t="s">
        <v>580</v>
      </c>
      <c r="H6" s="844"/>
      <c r="I6" s="1880">
        <f ca="1">+'Programma di spesa ammesso'!D17</f>
        <v>0</v>
      </c>
      <c r="J6" s="1880">
        <f ca="1">+'Programma di spesa ammesso'!F17</f>
        <v>0</v>
      </c>
    </row>
    <row r="7" spans="1:10" x14ac:dyDescent="0.35">
      <c r="A7" s="1888"/>
      <c r="B7" s="837"/>
      <c r="C7" s="1881"/>
      <c r="D7" s="1881"/>
      <c r="G7" s="1894"/>
      <c r="H7" s="837"/>
      <c r="I7" s="1881"/>
      <c r="J7" s="1881"/>
    </row>
    <row r="8" spans="1:10" x14ac:dyDescent="0.35">
      <c r="A8" s="1888"/>
      <c r="B8" s="837"/>
      <c r="C8" s="1881"/>
      <c r="D8" s="1881"/>
      <c r="G8" s="1894"/>
      <c r="H8" s="837"/>
      <c r="I8" s="1881"/>
      <c r="J8" s="1881"/>
    </row>
    <row r="9" spans="1:10" ht="15" thickBot="1" x14ac:dyDescent="0.4">
      <c r="A9" s="1889"/>
      <c r="B9" s="164"/>
      <c r="C9" s="1882"/>
      <c r="D9" s="1882"/>
      <c r="G9" s="1895"/>
      <c r="H9" s="164"/>
      <c r="I9" s="1882"/>
      <c r="J9" s="1882"/>
    </row>
    <row r="10" spans="1:10" x14ac:dyDescent="0.35">
      <c r="A10" s="1887" t="s">
        <v>1985</v>
      </c>
      <c r="B10" s="836"/>
      <c r="C10" s="1880">
        <f>+'Programma di spesa ammesso'!D5</f>
        <v>0</v>
      </c>
      <c r="D10" s="1880">
        <f>+'Programma di spesa ammesso'!F5</f>
        <v>0</v>
      </c>
      <c r="E10" s="608">
        <v>10</v>
      </c>
      <c r="G10" s="1893" t="s">
        <v>579</v>
      </c>
      <c r="H10" s="845"/>
      <c r="I10" s="1880">
        <f ca="1">+'Programma di spesa ammesso'!D18</f>
        <v>0</v>
      </c>
      <c r="J10" s="1880">
        <f>+'Programma di spesa ammesso'!F18</f>
        <v>0</v>
      </c>
    </row>
    <row r="11" spans="1:10" x14ac:dyDescent="0.35">
      <c r="A11" s="1888"/>
      <c r="B11" s="836"/>
      <c r="C11" s="1881"/>
      <c r="D11" s="1881"/>
      <c r="G11" s="1894"/>
      <c r="H11" s="838"/>
      <c r="I11" s="1881"/>
      <c r="J11" s="1881"/>
    </row>
    <row r="12" spans="1:10" x14ac:dyDescent="0.35">
      <c r="A12" s="1888"/>
      <c r="B12" s="836"/>
      <c r="C12" s="1881"/>
      <c r="D12" s="1881"/>
      <c r="G12" s="1894"/>
      <c r="H12" s="838"/>
      <c r="I12" s="1881"/>
      <c r="J12" s="1881"/>
    </row>
    <row r="13" spans="1:10" x14ac:dyDescent="0.35">
      <c r="A13" s="1888"/>
      <c r="B13" s="836"/>
      <c r="C13" s="1881"/>
      <c r="D13" s="1881"/>
      <c r="G13" s="1894"/>
      <c r="H13" s="838"/>
      <c r="I13" s="1881"/>
      <c r="J13" s="1881"/>
    </row>
    <row r="14" spans="1:10" x14ac:dyDescent="0.35">
      <c r="A14" s="1888"/>
      <c r="B14" s="838"/>
      <c r="C14" s="1881"/>
      <c r="D14" s="1881"/>
      <c r="G14" s="1894"/>
      <c r="H14" s="838"/>
      <c r="I14" s="1881"/>
      <c r="J14" s="1881"/>
    </row>
    <row r="15" spans="1:10" ht="15" thickBot="1" x14ac:dyDescent="0.4">
      <c r="A15" s="1889"/>
      <c r="B15" s="165"/>
      <c r="C15" s="1882"/>
      <c r="D15" s="1882"/>
      <c r="G15" s="1895"/>
      <c r="H15" s="165"/>
      <c r="I15" s="1882"/>
      <c r="J15" s="1882"/>
    </row>
    <row r="16" spans="1:10" x14ac:dyDescent="0.35">
      <c r="A16" s="1887" t="s">
        <v>1986</v>
      </c>
      <c r="B16" s="839"/>
      <c r="C16" s="1883">
        <f>+'Programma di spesa ammesso'!D6</f>
        <v>0</v>
      </c>
      <c r="D16" s="1883">
        <f>+'Programma di spesa ammesso'!F6</f>
        <v>0</v>
      </c>
      <c r="G16" s="1893" t="s">
        <v>578</v>
      </c>
      <c r="H16" s="845"/>
      <c r="I16" s="1880">
        <f ca="1">+'Programma di spesa ammesso'!D19</f>
        <v>10000</v>
      </c>
      <c r="J16" s="1880">
        <f>+'Programma di spesa ammesso'!F19</f>
        <v>0</v>
      </c>
    </row>
    <row r="17" spans="1:10" x14ac:dyDescent="0.35">
      <c r="A17" s="1888"/>
      <c r="B17" s="840"/>
      <c r="C17" s="1884"/>
      <c r="D17" s="1884"/>
      <c r="G17" s="1894"/>
      <c r="H17" s="840"/>
      <c r="I17" s="1881"/>
      <c r="J17" s="1881"/>
    </row>
    <row r="18" spans="1:10" x14ac:dyDescent="0.35">
      <c r="A18" s="1888"/>
      <c r="B18" s="840"/>
      <c r="C18" s="1884"/>
      <c r="D18" s="1884"/>
      <c r="G18" s="1894"/>
      <c r="H18" s="840"/>
      <c r="I18" s="1881"/>
      <c r="J18" s="1881"/>
    </row>
    <row r="19" spans="1:10" ht="15" thickBot="1" x14ac:dyDescent="0.4">
      <c r="A19" s="1889"/>
      <c r="B19" s="164"/>
      <c r="C19" s="1885"/>
      <c r="D19" s="1885"/>
      <c r="G19" s="1895"/>
      <c r="H19" s="164"/>
      <c r="I19" s="1882"/>
      <c r="J19" s="1882"/>
    </row>
    <row r="20" spans="1:10" x14ac:dyDescent="0.35">
      <c r="A20" s="1887" t="s">
        <v>1987</v>
      </c>
      <c r="B20" s="839"/>
      <c r="C20" s="1883">
        <f>+'Programma di spesa ammesso'!D7</f>
        <v>0</v>
      </c>
      <c r="D20" s="1883">
        <f>+'Programma di spesa ammesso'!F7</f>
        <v>0</v>
      </c>
      <c r="G20" s="1890" t="s">
        <v>589</v>
      </c>
      <c r="H20" s="844"/>
      <c r="I20" s="1880">
        <f ca="1">+'Programma di spesa ammesso'!D20</f>
        <v>0</v>
      </c>
      <c r="J20" s="1880">
        <f ca="1">+'Programma di spesa ammesso'!F20</f>
        <v>0</v>
      </c>
    </row>
    <row r="21" spans="1:10" x14ac:dyDescent="0.35">
      <c r="A21" s="1888"/>
      <c r="B21" s="840"/>
      <c r="C21" s="1884"/>
      <c r="D21" s="1884"/>
      <c r="G21" s="1891"/>
      <c r="H21" s="840"/>
      <c r="I21" s="1881"/>
      <c r="J21" s="1881"/>
    </row>
    <row r="22" spans="1:10" ht="15" thickBot="1" x14ac:dyDescent="0.4">
      <c r="A22" s="1889"/>
      <c r="B22" s="164"/>
      <c r="C22" s="1885"/>
      <c r="D22" s="1885"/>
      <c r="G22" s="1892"/>
      <c r="H22" s="164"/>
      <c r="I22" s="1882"/>
      <c r="J22" s="1882"/>
    </row>
    <row r="23" spans="1:10" ht="15" thickBot="1" x14ac:dyDescent="0.4">
      <c r="A23" s="1887" t="s">
        <v>593</v>
      </c>
      <c r="B23" s="839"/>
      <c r="C23" s="1883">
        <f>+'Programma di spesa ammesso'!D8</f>
        <v>0</v>
      </c>
      <c r="D23" s="1883">
        <f ca="1">+'Programma di spesa ammesso'!F8</f>
        <v>0</v>
      </c>
      <c r="G23" s="166"/>
      <c r="H23" s="843"/>
      <c r="I23" s="843"/>
      <c r="J23" s="843"/>
    </row>
    <row r="24" spans="1:10" ht="15" thickBot="1" x14ac:dyDescent="0.4">
      <c r="A24" s="1888"/>
      <c r="B24" s="840"/>
      <c r="C24" s="1884"/>
      <c r="D24" s="1884"/>
      <c r="G24" s="606" t="s">
        <v>1988</v>
      </c>
      <c r="H24" s="606"/>
      <c r="I24" s="261">
        <f ca="1">+SUM(I6:I22)</f>
        <v>10000</v>
      </c>
      <c r="J24" s="261">
        <f ca="1">SUM(J6:J23)</f>
        <v>0</v>
      </c>
    </row>
    <row r="25" spans="1:10" ht="15" thickBot="1" x14ac:dyDescent="0.4">
      <c r="A25" s="1889"/>
      <c r="B25" s="164"/>
      <c r="C25" s="1885"/>
      <c r="D25" s="1885"/>
    </row>
    <row r="26" spans="1:10" x14ac:dyDescent="0.35">
      <c r="A26" s="1887" t="s">
        <v>1989</v>
      </c>
      <c r="B26" s="839"/>
      <c r="C26" s="1883">
        <f>+'Programma di spesa ammesso'!D9</f>
        <v>0</v>
      </c>
      <c r="D26" s="1883">
        <f ca="1">+'Programma di spesa ammesso'!F9</f>
        <v>0</v>
      </c>
      <c r="G26"/>
      <c r="H26"/>
      <c r="I26"/>
      <c r="J26"/>
    </row>
    <row r="27" spans="1:10" x14ac:dyDescent="0.35">
      <c r="A27" s="1888"/>
      <c r="B27" s="840"/>
      <c r="C27" s="1884"/>
      <c r="D27" s="1884"/>
      <c r="G27"/>
      <c r="H27"/>
      <c r="I27"/>
      <c r="J27"/>
    </row>
    <row r="28" spans="1:10" ht="15" thickBot="1" x14ac:dyDescent="0.4">
      <c r="A28" s="1889"/>
      <c r="B28" s="607"/>
      <c r="C28" s="1885"/>
      <c r="D28" s="1885"/>
      <c r="G28"/>
      <c r="H28"/>
      <c r="I28"/>
      <c r="J28"/>
    </row>
    <row r="29" spans="1:10" ht="15" thickBot="1" x14ac:dyDescent="0.4">
      <c r="A29" s="847"/>
      <c r="B29" s="848"/>
      <c r="C29" s="848"/>
      <c r="D29" s="848"/>
      <c r="G29"/>
      <c r="H29"/>
      <c r="I29"/>
      <c r="J29"/>
    </row>
    <row r="30" spans="1:10" ht="15" thickBot="1" x14ac:dyDescent="0.4">
      <c r="A30" s="1259" t="s">
        <v>1990</v>
      </c>
      <c r="B30" s="1259"/>
      <c r="C30" s="850">
        <f>SUM(C6:C28)</f>
        <v>0</v>
      </c>
      <c r="D30" s="261">
        <f ca="1">SUM(D6:D28)</f>
        <v>0</v>
      </c>
      <c r="G30"/>
      <c r="H30"/>
      <c r="I30"/>
      <c r="J30"/>
    </row>
    <row r="31" spans="1:10" ht="15" thickBot="1" x14ac:dyDescent="0.4">
      <c r="A31" s="847"/>
      <c r="B31" s="1260"/>
      <c r="C31" s="1260"/>
      <c r="D31" s="848"/>
      <c r="G31"/>
      <c r="H31"/>
      <c r="I31"/>
      <c r="J31"/>
    </row>
    <row r="32" spans="1:10" ht="15" thickBot="1" x14ac:dyDescent="0.4">
      <c r="A32" s="847" t="s">
        <v>1991</v>
      </c>
      <c r="B32" s="1143"/>
      <c r="C32" s="850">
        <f ca="1">+'Programma di spesa ammesso'!D11</f>
        <v>0</v>
      </c>
      <c r="D32" s="849">
        <f ca="1">+'Programma di spesa ammesso'!F11</f>
        <v>0</v>
      </c>
      <c r="G32"/>
      <c r="H32"/>
      <c r="I32"/>
      <c r="J32"/>
    </row>
    <row r="33" spans="1:10" ht="15" thickBot="1" x14ac:dyDescent="0.4">
      <c r="A33" s="1886"/>
      <c r="B33" s="1886"/>
      <c r="C33" s="1886"/>
      <c r="D33" s="846"/>
    </row>
    <row r="34" spans="1:10" ht="15" thickBot="1" x14ac:dyDescent="0.4">
      <c r="A34" s="1259" t="s">
        <v>1992</v>
      </c>
      <c r="B34" s="1259"/>
      <c r="C34" s="850">
        <f ca="1">SUM(C6:C28)+C32</f>
        <v>0</v>
      </c>
      <c r="D34" s="261">
        <f ca="1">SUM(D6:D28)+D32</f>
        <v>0</v>
      </c>
    </row>
    <row r="37" spans="1:10" s="806" customFormat="1" ht="72.650000000000006" customHeight="1" x14ac:dyDescent="0.35">
      <c r="C37" s="1875"/>
      <c r="D37" s="1875"/>
      <c r="G37" s="1875"/>
      <c r="H37" s="1875"/>
      <c r="I37" s="1875"/>
      <c r="J37" s="1875"/>
    </row>
  </sheetData>
  <mergeCells count="37">
    <mergeCell ref="I20:I22"/>
    <mergeCell ref="J20:J22"/>
    <mergeCell ref="H4:H5"/>
    <mergeCell ref="B4:B5"/>
    <mergeCell ref="I6:I9"/>
    <mergeCell ref="I10:I15"/>
    <mergeCell ref="I16:I19"/>
    <mergeCell ref="A26:A28"/>
    <mergeCell ref="G20:G22"/>
    <mergeCell ref="G6:G9"/>
    <mergeCell ref="G10:G15"/>
    <mergeCell ref="G16:G19"/>
    <mergeCell ref="A6:A9"/>
    <mergeCell ref="A10:A15"/>
    <mergeCell ref="A16:A19"/>
    <mergeCell ref="A20:A22"/>
    <mergeCell ref="A23:A25"/>
    <mergeCell ref="D16:D19"/>
    <mergeCell ref="D20:D22"/>
    <mergeCell ref="D23:D25"/>
    <mergeCell ref="D26:D28"/>
    <mergeCell ref="C37:D37"/>
    <mergeCell ref="G37:J37"/>
    <mergeCell ref="A4:A5"/>
    <mergeCell ref="G4:G5"/>
    <mergeCell ref="C6:C9"/>
    <mergeCell ref="J6:J9"/>
    <mergeCell ref="C10:C15"/>
    <mergeCell ref="J10:J15"/>
    <mergeCell ref="D6:D9"/>
    <mergeCell ref="D10:D15"/>
    <mergeCell ref="C26:C28"/>
    <mergeCell ref="A33:C33"/>
    <mergeCell ref="C16:C19"/>
    <mergeCell ref="J16:J19"/>
    <mergeCell ref="C20:C22"/>
    <mergeCell ref="C23:C25"/>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C4BC5A-9C03-4401-BB4F-D55CF0CF68DF}">
  <sheetPr codeName="Foglio45"/>
  <dimension ref="A1:S28"/>
  <sheetViews>
    <sheetView zoomScale="70" zoomScaleNormal="70" workbookViewId="0">
      <selection activeCell="B16" sqref="B16"/>
    </sheetView>
  </sheetViews>
  <sheetFormatPr defaultRowHeight="14.5" x14ac:dyDescent="0.35"/>
  <cols>
    <col min="1" max="1" width="19.81640625" customWidth="1"/>
    <col min="2" max="2" width="15.26953125" bestFit="1" customWidth="1"/>
    <col min="3" max="3" width="33.81640625" customWidth="1"/>
    <col min="4" max="4" width="23.453125" customWidth="1"/>
    <col min="5" max="5" width="35.26953125" customWidth="1"/>
    <col min="6" max="6" width="18" customWidth="1"/>
    <col min="7" max="7" width="16.81640625" customWidth="1"/>
    <col min="8" max="8" width="27.1796875" customWidth="1"/>
    <col min="9" max="9" width="10.453125" customWidth="1"/>
    <col min="10" max="10" width="19.453125" customWidth="1"/>
    <col min="11" max="11" width="17.1796875" customWidth="1"/>
    <col min="12" max="12" width="17.81640625" bestFit="1" customWidth="1"/>
    <col min="14" max="14" width="21.54296875" bestFit="1" customWidth="1"/>
    <col min="18" max="18" width="15.26953125" customWidth="1"/>
    <col min="19" max="19" width="12.453125" customWidth="1"/>
  </cols>
  <sheetData>
    <row r="1" spans="1:19" ht="15" thickBot="1" x14ac:dyDescent="0.4">
      <c r="A1" s="1900" t="s">
        <v>1993</v>
      </c>
      <c r="B1" s="1900"/>
      <c r="C1" s="1900"/>
      <c r="D1" s="1900"/>
      <c r="E1" s="1900"/>
      <c r="F1" s="1900"/>
      <c r="G1" s="1900"/>
      <c r="H1" s="1900"/>
      <c r="I1" s="1900"/>
      <c r="J1" s="1900"/>
      <c r="K1" s="1900"/>
    </row>
    <row r="2" spans="1:19" ht="46.5" customHeight="1" thickBot="1" x14ac:dyDescent="0.4">
      <c r="A2" s="1290" t="s">
        <v>1994</v>
      </c>
      <c r="B2" s="1291" t="s">
        <v>1995</v>
      </c>
      <c r="C2" s="1292" t="s">
        <v>1996</v>
      </c>
      <c r="D2" s="1292" t="s">
        <v>1997</v>
      </c>
      <c r="E2" s="1292" t="s">
        <v>1998</v>
      </c>
      <c r="F2" s="1291" t="s">
        <v>1999</v>
      </c>
      <c r="G2" s="1291" t="s">
        <v>2000</v>
      </c>
      <c r="H2" s="1291" t="s">
        <v>2001</v>
      </c>
      <c r="I2" s="1291" t="s">
        <v>2002</v>
      </c>
      <c r="J2" s="1291" t="s">
        <v>2003</v>
      </c>
      <c r="K2" s="1293" t="s">
        <v>2004</v>
      </c>
    </row>
    <row r="3" spans="1:19" x14ac:dyDescent="0.35">
      <c r="A3">
        <f>+Anagrafica!C1</f>
        <v>0</v>
      </c>
      <c r="B3">
        <f>+Anagrafica!C11</f>
        <v>0</v>
      </c>
      <c r="C3">
        <f>+Anagrafica!C6</f>
        <v>0</v>
      </c>
      <c r="D3" s="1275">
        <f>+Anagrafica!H6</f>
        <v>0</v>
      </c>
      <c r="E3" s="1275">
        <v>0</v>
      </c>
      <c r="F3">
        <f>+Anagrafica!C9</f>
        <v>0</v>
      </c>
      <c r="G3" t="str">
        <f>+Anagrafica!H8</f>
        <v>RM</v>
      </c>
      <c r="H3" t="str">
        <f>+Anagrafica!C8</f>
        <v>ROMA</v>
      </c>
      <c r="I3">
        <f>+Anagrafica!H7</f>
        <v>0</v>
      </c>
      <c r="J3" t="str">
        <f>IFERROR(LEFT(+Anagrafica!C7,LEN(+Anagrafica!C7)-LEN(K3)-1),"")</f>
        <v/>
      </c>
      <c r="K3" t="str">
        <f>+IF(IFERROR(FIND(" ",RIGHT(+Anagrafica!C7,2)),-1)&gt;0,RIGHT(+Anagrafica!C7,1),IF(IFERROR(FIND(" ",RIGHT(+Anagrafica!C7,3)),-1)&gt;0,RIGHT(+Anagrafica!C7,2),IF(IFERROR(FIND(" ",RIGHT(+Anagrafica!C7,4)),-1)&gt;0,RIGHT(+Anagrafica!C7,3),IF(IFERROR(FIND(" ",RIGHT(+Anagrafica!C7,5)),-1)&gt;0,RIGHT(+Anagrafica!C7,4),RIGHT(+Anagrafica!C7,5)))))</f>
        <v/>
      </c>
    </row>
    <row r="4" spans="1:19" x14ac:dyDescent="0.35">
      <c r="G4" s="596"/>
    </row>
    <row r="7" spans="1:19" ht="15" thickBot="1" x14ac:dyDescent="0.4"/>
    <row r="8" spans="1:19" ht="73" thickBot="1" x14ac:dyDescent="0.4">
      <c r="A8" s="1290" t="s">
        <v>1994</v>
      </c>
      <c r="B8" s="1294" t="s">
        <v>2005</v>
      </c>
      <c r="C8" s="1292" t="s">
        <v>2006</v>
      </c>
      <c r="D8" s="1291" t="s">
        <v>2007</v>
      </c>
      <c r="E8" s="1292" t="s">
        <v>2008</v>
      </c>
      <c r="F8" s="1293" t="s">
        <v>2009</v>
      </c>
    </row>
    <row r="9" spans="1:19" x14ac:dyDescent="0.35">
      <c r="A9" s="1273">
        <f>+B3</f>
        <v>0</v>
      </c>
      <c r="B9" s="1273"/>
      <c r="D9" t="s">
        <v>2010</v>
      </c>
      <c r="E9">
        <f>Anagrafica!C2</f>
        <v>0</v>
      </c>
      <c r="F9" t="str">
        <f>+Anagrafica!C3</f>
        <v>xxxxxxxx</v>
      </c>
    </row>
    <row r="15" spans="1:19" ht="58.5" thickBot="1" x14ac:dyDescent="0.4">
      <c r="A15" s="1270" t="s">
        <v>2011</v>
      </c>
      <c r="B15" s="1271" t="s">
        <v>2012</v>
      </c>
      <c r="C15" s="1271" t="s">
        <v>2013</v>
      </c>
      <c r="D15" s="1272" t="s">
        <v>2014</v>
      </c>
      <c r="E15" s="1272" t="s">
        <v>2015</v>
      </c>
      <c r="F15" s="1271" t="s">
        <v>2016</v>
      </c>
      <c r="G15" s="1271" t="s">
        <v>2017</v>
      </c>
      <c r="H15" s="1271" t="s">
        <v>2018</v>
      </c>
      <c r="I15" s="1271" t="s">
        <v>2019</v>
      </c>
      <c r="J15" s="1271" t="s">
        <v>2020</v>
      </c>
      <c r="K15" s="1271" t="s">
        <v>2021</v>
      </c>
      <c r="L15" s="1272" t="s">
        <v>2022</v>
      </c>
      <c r="M15" s="1271" t="s">
        <v>1872</v>
      </c>
      <c r="N15" s="1272" t="s">
        <v>2023</v>
      </c>
      <c r="O15" s="1271" t="s">
        <v>2024</v>
      </c>
      <c r="P15" s="1272" t="s">
        <v>2025</v>
      </c>
      <c r="Q15" s="1272" t="s">
        <v>2026</v>
      </c>
      <c r="R15" s="1272" t="s">
        <v>2027</v>
      </c>
      <c r="S15" s="1271" t="s">
        <v>2028</v>
      </c>
    </row>
    <row r="16" spans="1:19" ht="19" thickBot="1" x14ac:dyDescent="0.5">
      <c r="A16" s="1295"/>
      <c r="B16" s="1296">
        <v>0</v>
      </c>
      <c r="C16" s="1309">
        <f>Anagrafica!C20</f>
        <v>0</v>
      </c>
      <c r="D16" s="1296" t="s">
        <v>2029</v>
      </c>
      <c r="E16" s="1296" t="s">
        <v>1563</v>
      </c>
      <c r="F16" s="1297"/>
      <c r="G16" s="1296">
        <f>Anagrafica!C36</f>
        <v>0</v>
      </c>
      <c r="H16" s="1296"/>
      <c r="I16" s="1296"/>
      <c r="J16" s="1296"/>
      <c r="K16" s="1296"/>
      <c r="L16" s="1308">
        <f>+IF(D16="Finanziamento",VLOOKUP(Anagrafica!$C$24,'Fonti e cc'!$A$2:$J$5,10),IF(D16="Contributo",'Fonti e cc'!$J$6," "))</f>
        <v>210</v>
      </c>
      <c r="M16" s="1310">
        <f>Anagrafica!C17</f>
        <v>0</v>
      </c>
      <c r="N16" s="1296">
        <f>'Mandato Anticipo'!C15</f>
        <v>0</v>
      </c>
      <c r="O16" s="1296" t="str">
        <f>_xlfn.CONCAT(Anagrafica!C50,Anagrafica!D50,Anagrafica!E50,Anagrafica!F50,Anagrafica!G50,Anagrafica!H50)</f>
        <v>IT</v>
      </c>
      <c r="P16" s="1296" t="str">
        <f>+IF(D16="Finanziamento",VLOOKUP(Anagrafica!$C$24,'Fonti e cc'!$A$2:$K$5,11),IF(D16="Contributo",'Fonti e cc'!$K$6," "))</f>
        <v>SPAL3</v>
      </c>
      <c r="Q16" s="1296" t="str">
        <f>+IF(D16="Finanziamento",VLOOKUP(Anagrafica!$C$24,'Fonti e cc'!$A$2:$L$5,12),IF(D16="Contributo",'Fonti e cc'!$L$6," "))</f>
        <v>ORD04</v>
      </c>
      <c r="R16" s="1296" t="s">
        <v>2030</v>
      </c>
      <c r="S16" s="1298" t="s">
        <v>582</v>
      </c>
    </row>
    <row r="17" spans="1:19" ht="18.5" x14ac:dyDescent="0.45">
      <c r="A17" s="1299"/>
      <c r="B17" s="1300">
        <f>+B16</f>
        <v>0</v>
      </c>
      <c r="C17" s="1300">
        <f>+C16</f>
        <v>0</v>
      </c>
      <c r="D17" s="1300" t="s">
        <v>2029</v>
      </c>
      <c r="E17" s="1300" t="s">
        <v>1563</v>
      </c>
      <c r="F17" s="1301"/>
      <c r="G17" s="1300">
        <f>Anagrafica!C36</f>
        <v>0</v>
      </c>
      <c r="H17" s="1300"/>
      <c r="I17" s="1300"/>
      <c r="J17" s="1300"/>
      <c r="K17" s="1300"/>
      <c r="L17" s="1300">
        <f>+IF(D17="Finanziamento",VLOOKUP(Anagrafica!$C$24,'Fonti e cc'!$A$2:$J$5,10),IF(D17="Contributo",'Fonti e cc'!$J$6," "))</f>
        <v>210</v>
      </c>
      <c r="M17" s="1300">
        <f>+M16</f>
        <v>0</v>
      </c>
      <c r="N17" s="1307">
        <f ca="1">'Mandato 1 SAL'!C18</f>
        <v>0</v>
      </c>
      <c r="O17" s="1300" t="str">
        <f>+O16</f>
        <v>IT</v>
      </c>
      <c r="P17" s="1300" t="str">
        <f>+IF(D17="Finanziamento",VLOOKUP(Anagrafica!$C$24,'Fonti e cc'!$A$2:$K$5,11),IF(D17="Contributo",'Fonti e cc'!$K$6," "))</f>
        <v>SPAL3</v>
      </c>
      <c r="Q17" s="1300" t="str">
        <f>+IF(D17="Finanziamento",VLOOKUP(Anagrafica!$C$24,'Fonti e cc'!$A$2:$L$5,12),IF(D17="Contributo",'Fonti e cc'!$L$6," "))</f>
        <v>ORD04</v>
      </c>
      <c r="R17" s="1300" t="s">
        <v>2030</v>
      </c>
      <c r="S17" s="1302" t="s">
        <v>584</v>
      </c>
    </row>
    <row r="18" spans="1:19" ht="19" thickBot="1" x14ac:dyDescent="0.5">
      <c r="A18" s="1303"/>
      <c r="B18" s="1304">
        <v>0</v>
      </c>
      <c r="C18" s="1304">
        <f>+C17</f>
        <v>0</v>
      </c>
      <c r="D18" s="1304" t="s">
        <v>2031</v>
      </c>
      <c r="E18" s="1304" t="s">
        <v>1563</v>
      </c>
      <c r="F18" s="1305"/>
      <c r="G18" s="1304">
        <f>Anagrafica!C37</f>
        <v>0</v>
      </c>
      <c r="H18" s="1304"/>
      <c r="I18" s="1304"/>
      <c r="J18" s="1304"/>
      <c r="K18" s="1304"/>
      <c r="L18" s="1304">
        <f>+IF(D18="Finanziamento",VLOOKUP(Anagrafica!$C$26,'Fonti e cc'!$A$2:$J$5,10),IF(D18="Contributo",'Fonti e cc'!$J$6," "))</f>
        <v>199</v>
      </c>
      <c r="M18" s="1304">
        <f>+M17</f>
        <v>0</v>
      </c>
      <c r="N18" s="1304">
        <f ca="1">'Mandato 1 SAL'!C20</f>
        <v>0</v>
      </c>
      <c r="O18" s="1304" t="str">
        <f>+O17</f>
        <v>IT</v>
      </c>
      <c r="P18" s="1304" t="str">
        <f>+IF(D18="Finanziamento",VLOOKUP(Anagrafica!$C$24,'Fonti e cc'!$A$2:$K$5,11),IF(D18="Contributo",'Fonti e cc'!$K$6," "))</f>
        <v>CHE17</v>
      </c>
      <c r="Q18" s="1304" t="str">
        <f>+IF(D18="Finanziamento",VLOOKUP(Anagrafica!$C$24,'Fonti e cc'!$A$2:$L$5,12),IF(D18="Contributo",'Fonti e cc'!$L$6," "))</f>
        <v>ORD17</v>
      </c>
      <c r="R18" s="1304" t="s">
        <v>2030</v>
      </c>
      <c r="S18" s="1306"/>
    </row>
    <row r="19" spans="1:19" ht="18.5" x14ac:dyDescent="0.45">
      <c r="A19" s="1299"/>
      <c r="B19" s="1300">
        <f t="shared" ref="B19:C28" si="0">+B18</f>
        <v>0</v>
      </c>
      <c r="C19" s="1300">
        <f t="shared" si="0"/>
        <v>0</v>
      </c>
      <c r="D19" s="1300" t="s">
        <v>2029</v>
      </c>
      <c r="E19" s="1300" t="s">
        <v>1563</v>
      </c>
      <c r="F19" s="1301"/>
      <c r="G19" s="1300">
        <f>+G17</f>
        <v>0</v>
      </c>
      <c r="H19" s="1300"/>
      <c r="I19" s="1300"/>
      <c r="J19" s="1300"/>
      <c r="K19" s="1300"/>
      <c r="L19" s="1300">
        <f>+IF(D19="Finanziamento",VLOOKUP(Anagrafica!$C$24,'Fonti e cc'!$A$2:$J$5,10),IF(D19="Contributo",'Fonti e cc'!$J$6," "))</f>
        <v>210</v>
      </c>
      <c r="M19" s="1300">
        <f t="shared" ref="M19:M28" si="1">+M18</f>
        <v>0</v>
      </c>
      <c r="N19" s="1300">
        <f ca="1">+'Mandato 2 SAL'!C18</f>
        <v>0</v>
      </c>
      <c r="O19" s="1300" t="str">
        <f t="shared" ref="O19:O28" si="2">+O18</f>
        <v>IT</v>
      </c>
      <c r="P19" s="1300" t="str">
        <f>+IF(D19="Finanziamento",VLOOKUP(Anagrafica!$C$24,'Fonti e cc'!$A$2:$K$5,11),IF(D19="Contributo",'Fonti e cc'!$K$6," "))</f>
        <v>SPAL3</v>
      </c>
      <c r="Q19" s="1300" t="str">
        <f>+IF(D19="Finanziamento",VLOOKUP(Anagrafica!$C$24,'Fonti e cc'!$A$2:$L$5,12),IF(D19="Contributo",'Fonti e cc'!$L$6," "))</f>
        <v>ORD04</v>
      </c>
      <c r="R19" s="1300" t="s">
        <v>2030</v>
      </c>
      <c r="S19" s="1302" t="s">
        <v>587</v>
      </c>
    </row>
    <row r="20" spans="1:19" ht="19" thickBot="1" x14ac:dyDescent="0.5">
      <c r="A20" s="1303"/>
      <c r="B20" s="1304">
        <v>0</v>
      </c>
      <c r="C20" s="1304">
        <f t="shared" si="0"/>
        <v>0</v>
      </c>
      <c r="D20" s="1304" t="s">
        <v>2031</v>
      </c>
      <c r="E20" s="1304" t="s">
        <v>1563</v>
      </c>
      <c r="F20" s="1305"/>
      <c r="G20" s="1304">
        <f>+G18</f>
        <v>0</v>
      </c>
      <c r="H20" s="1304"/>
      <c r="I20" s="1304"/>
      <c r="J20" s="1304"/>
      <c r="K20" s="1304"/>
      <c r="L20" s="1304">
        <f>+IF(D20="Finanziamento",VLOOKUP(Anagrafica!$C$26,'Fonti e cc'!$A$2:$J$5,10),IF(D20="Contributo",'Fonti e cc'!$J$6," "))</f>
        <v>199</v>
      </c>
      <c r="M20" s="1304">
        <f t="shared" si="1"/>
        <v>0</v>
      </c>
      <c r="N20" s="1304">
        <f ca="1">+'Mandato 2 SAL'!C20</f>
        <v>0</v>
      </c>
      <c r="O20" s="1304" t="str">
        <f t="shared" si="2"/>
        <v>IT</v>
      </c>
      <c r="P20" s="1304" t="str">
        <f>+IF(D20="Finanziamento",VLOOKUP(Anagrafica!$C$24,'Fonti e cc'!$A$2:$K$5,11),IF(D20="Contributo",'Fonti e cc'!$K$6," "))</f>
        <v>CHE17</v>
      </c>
      <c r="Q20" s="1304" t="str">
        <f>+IF(D20="Finanziamento",VLOOKUP(Anagrafica!$C$24,'Fonti e cc'!$A$2:$L$5,12),IF(D20="Contributo",'Fonti e cc'!$L$6," "))</f>
        <v>ORD17</v>
      </c>
      <c r="R20" s="1304" t="s">
        <v>2030</v>
      </c>
      <c r="S20" s="1306"/>
    </row>
    <row r="21" spans="1:19" ht="18.5" x14ac:dyDescent="0.45">
      <c r="A21" s="1299"/>
      <c r="B21" s="1300">
        <f t="shared" ref="B21" si="3">+B20</f>
        <v>0</v>
      </c>
      <c r="C21" s="1300">
        <f t="shared" si="0"/>
        <v>0</v>
      </c>
      <c r="D21" s="1300" t="s">
        <v>2029</v>
      </c>
      <c r="E21" s="1300" t="s">
        <v>1563</v>
      </c>
      <c r="F21" s="1301"/>
      <c r="G21" s="1300">
        <f>+G19</f>
        <v>0</v>
      </c>
      <c r="H21" s="1300"/>
      <c r="I21" s="1300"/>
      <c r="J21" s="1300"/>
      <c r="K21" s="1300"/>
      <c r="L21" s="1300">
        <f>+IF(D21="Finanziamento",VLOOKUP(Anagrafica!$C$24,'Fonti e cc'!$A$2:$J$5,10),IF(D21="Contributo",'Fonti e cc'!$J$6," "))</f>
        <v>210</v>
      </c>
      <c r="M21" s="1300">
        <f t="shared" si="1"/>
        <v>0</v>
      </c>
      <c r="N21" s="1300">
        <f ca="1">+'Mandato 3 SAL'!C18</f>
        <v>0</v>
      </c>
      <c r="O21" s="1300" t="str">
        <f t="shared" si="2"/>
        <v>IT</v>
      </c>
      <c r="P21" s="1300" t="str">
        <f>+IF(D21="Finanziamento",VLOOKUP(Anagrafica!$C$24,'Fonti e cc'!$A$2:$K$5,11),IF(D21="Contributo",'Fonti e cc'!$K$6," "))</f>
        <v>SPAL3</v>
      </c>
      <c r="Q21" s="1300" t="str">
        <f>+IF(D21="Finanziamento",VLOOKUP(Anagrafica!$C$24,'Fonti e cc'!$A$2:$L$5,12),IF(D21="Contributo",'Fonti e cc'!$L$6," "))</f>
        <v>ORD04</v>
      </c>
      <c r="R21" s="1300" t="s">
        <v>2030</v>
      </c>
      <c r="S21" s="1302" t="s">
        <v>591</v>
      </c>
    </row>
    <row r="22" spans="1:19" ht="19" thickBot="1" x14ac:dyDescent="0.5">
      <c r="A22" s="1303"/>
      <c r="B22" s="1304">
        <v>0</v>
      </c>
      <c r="C22" s="1304">
        <f t="shared" si="0"/>
        <v>0</v>
      </c>
      <c r="D22" s="1304" t="s">
        <v>2031</v>
      </c>
      <c r="E22" s="1304" t="s">
        <v>1563</v>
      </c>
      <c r="F22" s="1305"/>
      <c r="G22" s="1304">
        <f t="shared" ref="G22:G28" si="4">+G20</f>
        <v>0</v>
      </c>
      <c r="H22" s="1304"/>
      <c r="I22" s="1304"/>
      <c r="J22" s="1304"/>
      <c r="K22" s="1304"/>
      <c r="L22" s="1304">
        <f>+IF(D22="Finanziamento",VLOOKUP(Anagrafica!$C$26,'Fonti e cc'!$A$2:$J$5,10),IF(D22="Contributo",'Fonti e cc'!$J$6," "))</f>
        <v>199</v>
      </c>
      <c r="M22" s="1304">
        <f t="shared" si="1"/>
        <v>0</v>
      </c>
      <c r="N22" s="1304">
        <f ca="1">+'Mandato 3 SAL'!C20</f>
        <v>0</v>
      </c>
      <c r="O22" s="1304" t="str">
        <f t="shared" si="2"/>
        <v>IT</v>
      </c>
      <c r="P22" s="1304" t="str">
        <f>+IF(D22="Finanziamento",VLOOKUP(Anagrafica!$C$24,'Fonti e cc'!$A$2:$K$5,11),IF(D22="Contributo",'Fonti e cc'!$K$6," "))</f>
        <v>CHE17</v>
      </c>
      <c r="Q22" s="1304" t="str">
        <f>+IF(D22="Finanziamento",VLOOKUP(Anagrafica!$C$24,'Fonti e cc'!$A$2:$L$5,12),IF(D22="Contributo",'Fonti e cc'!$L$6," "))</f>
        <v>ORD17</v>
      </c>
      <c r="R22" s="1304" t="s">
        <v>2030</v>
      </c>
      <c r="S22" s="1306"/>
    </row>
    <row r="23" spans="1:19" ht="18.5" x14ac:dyDescent="0.45">
      <c r="A23" s="1299"/>
      <c r="B23" s="1300">
        <f t="shared" ref="B23" si="5">+B22</f>
        <v>0</v>
      </c>
      <c r="C23" s="1300">
        <f t="shared" si="0"/>
        <v>0</v>
      </c>
      <c r="D23" s="1300" t="s">
        <v>2029</v>
      </c>
      <c r="E23" s="1300" t="s">
        <v>1563</v>
      </c>
      <c r="F23" s="1301"/>
      <c r="G23" s="1300">
        <f>+G21</f>
        <v>0</v>
      </c>
      <c r="H23" s="1300"/>
      <c r="I23" s="1300"/>
      <c r="J23" s="1300"/>
      <c r="K23" s="1300"/>
      <c r="L23" s="1300">
        <f>+IF(D23="Finanziamento",VLOOKUP(Anagrafica!$C$24,'Fonti e cc'!$A$2:$J$5,10),IF(D23="Contributo",'Fonti e cc'!$J$6," "))</f>
        <v>210</v>
      </c>
      <c r="M23" s="1300">
        <f t="shared" si="1"/>
        <v>0</v>
      </c>
      <c r="N23" s="1300">
        <f ca="1">+'Mandato 4 SAL'!C18</f>
        <v>0</v>
      </c>
      <c r="O23" s="1300" t="str">
        <f t="shared" si="2"/>
        <v>IT</v>
      </c>
      <c r="P23" s="1300" t="str">
        <f>+IF(D23="Finanziamento",VLOOKUP(Anagrafica!$C$24,'Fonti e cc'!$A$2:$K$5,11),IF(D23="Contributo",'Fonti e cc'!$K$6," "))</f>
        <v>SPAL3</v>
      </c>
      <c r="Q23" s="1300" t="str">
        <f>+IF(D23="Finanziamento",VLOOKUP(Anagrafica!$C$24,'Fonti e cc'!$A$2:$L$5,12),IF(D23="Contributo",'Fonti e cc'!$L$6," "))</f>
        <v>ORD04</v>
      </c>
      <c r="R23" s="1300" t="s">
        <v>2030</v>
      </c>
      <c r="S23" s="1302" t="s">
        <v>596</v>
      </c>
    </row>
    <row r="24" spans="1:19" ht="19" thickBot="1" x14ac:dyDescent="0.5">
      <c r="A24" s="1303"/>
      <c r="B24" s="1304">
        <v>0</v>
      </c>
      <c r="C24" s="1304">
        <f t="shared" si="0"/>
        <v>0</v>
      </c>
      <c r="D24" s="1304" t="s">
        <v>2031</v>
      </c>
      <c r="E24" s="1304" t="s">
        <v>1563</v>
      </c>
      <c r="F24" s="1305"/>
      <c r="G24" s="1304">
        <f t="shared" si="4"/>
        <v>0</v>
      </c>
      <c r="H24" s="1304"/>
      <c r="I24" s="1304"/>
      <c r="J24" s="1304"/>
      <c r="K24" s="1304"/>
      <c r="L24" s="1304">
        <f>+IF(D24="Finanziamento",VLOOKUP(Anagrafica!$C$26,'Fonti e cc'!$A$2:$J$5,10),IF(D24="Contributo",'Fonti e cc'!$J$6," "))</f>
        <v>199</v>
      </c>
      <c r="M24" s="1304">
        <f t="shared" si="1"/>
        <v>0</v>
      </c>
      <c r="N24" s="1304">
        <f ca="1">+'Mandato 4 SAL'!C20</f>
        <v>0</v>
      </c>
      <c r="O24" s="1304" t="str">
        <f t="shared" si="2"/>
        <v>IT</v>
      </c>
      <c r="P24" s="1304" t="str">
        <f>+IF(D24="Finanziamento",VLOOKUP(Anagrafica!$C$24,'Fonti e cc'!$A$2:$K$5,11),IF(D24="Contributo",'Fonti e cc'!$K$6," "))</f>
        <v>CHE17</v>
      </c>
      <c r="Q24" s="1304" t="str">
        <f>+IF(D24="Finanziamento",VLOOKUP(Anagrafica!$C$24,'Fonti e cc'!$A$2:$L$5,12),IF(D24="Contributo",'Fonti e cc'!$L$6," "))</f>
        <v>ORD17</v>
      </c>
      <c r="R24" s="1304" t="s">
        <v>2030</v>
      </c>
      <c r="S24" s="1306"/>
    </row>
    <row r="25" spans="1:19" ht="18.5" x14ac:dyDescent="0.45">
      <c r="A25" s="1299"/>
      <c r="B25" s="1300">
        <f t="shared" ref="B25" si="6">+B24</f>
        <v>0</v>
      </c>
      <c r="C25" s="1300">
        <f t="shared" si="0"/>
        <v>0</v>
      </c>
      <c r="D25" s="1300" t="s">
        <v>2029</v>
      </c>
      <c r="E25" s="1300" t="s">
        <v>1563</v>
      </c>
      <c r="F25" s="1301"/>
      <c r="G25" s="1300">
        <f>+G23</f>
        <v>0</v>
      </c>
      <c r="H25" s="1300"/>
      <c r="I25" s="1300"/>
      <c r="J25" s="1300"/>
      <c r="K25" s="1300"/>
      <c r="L25" s="1300">
        <f>+IF(D25="Finanziamento",VLOOKUP(Anagrafica!$C$24,'Fonti e cc'!$A$2:$J$5,10),IF(D25="Contributo",'Fonti e cc'!$J$6," "))</f>
        <v>210</v>
      </c>
      <c r="M25" s="1300">
        <f>+M24</f>
        <v>0</v>
      </c>
      <c r="N25" s="1300">
        <f ca="1">+'Mandato SAL SALDO'!C18</f>
        <v>0</v>
      </c>
      <c r="O25" s="1300" t="str">
        <f t="shared" si="2"/>
        <v>IT</v>
      </c>
      <c r="P25" s="1300" t="str">
        <f>+IF(D25="Finanziamento",VLOOKUP(Anagrafica!$C$24,'Fonti e cc'!$A$2:$K$5,11),IF(D25="Contributo",'Fonti e cc'!$K$6," "))</f>
        <v>SPAL3</v>
      </c>
      <c r="Q25" s="1300" t="str">
        <f>+IF(D25="Finanziamento",VLOOKUP(Anagrafica!$C$24,'Fonti e cc'!$A$2:$L$5,12),IF(D25="Contributo",'Fonti e cc'!$L$6," "))</f>
        <v>ORD04</v>
      </c>
      <c r="R25" s="1300" t="s">
        <v>2030</v>
      </c>
      <c r="S25" s="1302" t="s">
        <v>2032</v>
      </c>
    </row>
    <row r="26" spans="1:19" ht="19" thickBot="1" x14ac:dyDescent="0.5">
      <c r="A26" s="1303"/>
      <c r="B26" s="1304">
        <v>0</v>
      </c>
      <c r="C26" s="1304">
        <f t="shared" si="0"/>
        <v>0</v>
      </c>
      <c r="D26" s="1304" t="s">
        <v>2031</v>
      </c>
      <c r="E26" s="1304" t="s">
        <v>1563</v>
      </c>
      <c r="F26" s="1305"/>
      <c r="G26" s="1304">
        <f t="shared" si="4"/>
        <v>0</v>
      </c>
      <c r="H26" s="1304"/>
      <c r="I26" s="1304"/>
      <c r="J26" s="1304"/>
      <c r="K26" s="1304"/>
      <c r="L26" s="1304">
        <f>+IF(D26="Finanziamento",VLOOKUP(Anagrafica!$C$26,'Fonti e cc'!$A$2:$J$5,10),IF(D26="Contributo",'Fonti e cc'!$J$6," "))</f>
        <v>199</v>
      </c>
      <c r="M26" s="1304">
        <f t="shared" si="1"/>
        <v>0</v>
      </c>
      <c r="N26" s="1304">
        <f ca="1">+'Mandato SAL SALDO'!C20</f>
        <v>0</v>
      </c>
      <c r="O26" s="1304" t="str">
        <f t="shared" si="2"/>
        <v>IT</v>
      </c>
      <c r="P26" s="1304" t="str">
        <f>+IF(D26="Finanziamento",VLOOKUP(Anagrafica!$C$24,'Fonti e cc'!$A$2:$K$5,11),IF(D26="Contributo",'Fonti e cc'!$K$6," "))</f>
        <v>CHE17</v>
      </c>
      <c r="Q26" s="1304" t="str">
        <f>+IF(D26="Finanziamento",VLOOKUP(Anagrafica!$C$24,'Fonti e cc'!$A$2:$L$5,12),IF(D26="Contributo",'Fonti e cc'!$L$6," "))</f>
        <v>ORD17</v>
      </c>
      <c r="R26" s="1304" t="s">
        <v>2030</v>
      </c>
      <c r="S26" s="1306"/>
    </row>
    <row r="27" spans="1:19" ht="18.5" x14ac:dyDescent="0.45">
      <c r="A27" s="1299"/>
      <c r="B27" s="1300">
        <f t="shared" ref="B27" si="7">+B26</f>
        <v>0</v>
      </c>
      <c r="C27" s="1300">
        <f t="shared" si="0"/>
        <v>0</v>
      </c>
      <c r="D27" s="1300" t="s">
        <v>2029</v>
      </c>
      <c r="E27" s="1300" t="s">
        <v>1563</v>
      </c>
      <c r="F27" s="1301"/>
      <c r="G27" s="1300">
        <f>+G25</f>
        <v>0</v>
      </c>
      <c r="H27" s="1300"/>
      <c r="I27" s="1300"/>
      <c r="J27" s="1300"/>
      <c r="K27" s="1300"/>
      <c r="L27" s="1300">
        <f>+IF(D27="Finanziamento",VLOOKUP(Anagrafica!$C$24,'Fonti e cc'!$A$2:$J$5,10),IF(D27="Contributo",'Fonti e cc'!$J$6," "))</f>
        <v>210</v>
      </c>
      <c r="M27" s="1300">
        <f t="shared" si="1"/>
        <v>0</v>
      </c>
      <c r="N27" s="1300">
        <f>+'SAL UNICO'!C18</f>
        <v>0</v>
      </c>
      <c r="O27" s="1300" t="str">
        <f t="shared" si="2"/>
        <v>IT</v>
      </c>
      <c r="P27" s="1300" t="str">
        <f>+IF(D27="Finanziamento",VLOOKUP(Anagrafica!$C$24,'Fonti e cc'!$A$2:$K$5,11),IF(D27="Contributo",'Fonti e cc'!$K$6," "))</f>
        <v>SPAL3</v>
      </c>
      <c r="Q27" s="1300" t="str">
        <f>+IF(D27="Finanziamento",VLOOKUP(Anagrafica!$C$24,'Fonti e cc'!$A$2:$L$5,12),IF(D27="Contributo",'Fonti e cc'!$L$6," "))</f>
        <v>ORD04</v>
      </c>
      <c r="R27" s="1300" t="s">
        <v>2030</v>
      </c>
      <c r="S27" s="1302" t="s">
        <v>2033</v>
      </c>
    </row>
    <row r="28" spans="1:19" ht="19" thickBot="1" x14ac:dyDescent="0.5">
      <c r="A28" s="1303"/>
      <c r="B28" s="1304">
        <v>0</v>
      </c>
      <c r="C28" s="1304">
        <f t="shared" si="0"/>
        <v>0</v>
      </c>
      <c r="D28" s="1304" t="s">
        <v>2031</v>
      </c>
      <c r="E28" s="1304" t="s">
        <v>1563</v>
      </c>
      <c r="F28" s="1305"/>
      <c r="G28" s="1304">
        <f t="shared" si="4"/>
        <v>0</v>
      </c>
      <c r="H28" s="1304"/>
      <c r="I28" s="1304"/>
      <c r="J28" s="1304"/>
      <c r="K28" s="1304"/>
      <c r="L28" s="1304">
        <f>+IF(D28="Finanziamento",VLOOKUP(Anagrafica!$C$26,'Fonti e cc'!$A$2:$J$5,10),IF(D28="Contributo",'Fonti e cc'!$J$6," "))</f>
        <v>199</v>
      </c>
      <c r="M28" s="1304">
        <f t="shared" si="1"/>
        <v>0</v>
      </c>
      <c r="N28" s="1304">
        <f ca="1">+'Mandato SAL UNICO'!C20</f>
        <v>0</v>
      </c>
      <c r="O28" s="1304" t="str">
        <f t="shared" si="2"/>
        <v>IT</v>
      </c>
      <c r="P28" s="1304" t="str">
        <f>+IF(D28="Finanziamento",VLOOKUP(Anagrafica!$C$24,'Fonti e cc'!$A$2:$K$5,11),IF(D28="Contributo",'Fonti e cc'!$K$6," "))</f>
        <v>CHE17</v>
      </c>
      <c r="Q28" s="1304" t="str">
        <f>+IF(D28="Finanziamento",VLOOKUP(Anagrafica!$C$24,'Fonti e cc'!$A$2:$L$5,12),IF(D28="Contributo",'Fonti e cc'!$L$6," "))</f>
        <v>ORD17</v>
      </c>
      <c r="R28" s="1304" t="s">
        <v>2030</v>
      </c>
      <c r="S28" s="1306"/>
    </row>
  </sheetData>
  <mergeCells count="1">
    <mergeCell ref="A1:K1"/>
  </mergeCells>
  <conditionalFormatting sqref="A16:R16">
    <cfRule type="expression" dxfId="118" priority="13">
      <formula>$N$16=0</formula>
    </cfRule>
  </conditionalFormatting>
  <conditionalFormatting sqref="A17:R18">
    <cfRule type="expression" dxfId="117" priority="12">
      <formula>$N$17=0</formula>
    </cfRule>
  </conditionalFormatting>
  <conditionalFormatting sqref="A18:O18 R18">
    <cfRule type="expression" dxfId="116" priority="11">
      <formula>$N$18=0</formula>
    </cfRule>
  </conditionalFormatting>
  <conditionalFormatting sqref="A19:R20">
    <cfRule type="expression" dxfId="115" priority="10">
      <formula>$N$19=0</formula>
    </cfRule>
  </conditionalFormatting>
  <conditionalFormatting sqref="A20:O20 R20">
    <cfRule type="expression" dxfId="114" priority="9">
      <formula>$N$20=0</formula>
    </cfRule>
  </conditionalFormatting>
  <conditionalFormatting sqref="A21:R22">
    <cfRule type="expression" dxfId="113" priority="8">
      <formula>$N$21=0</formula>
    </cfRule>
  </conditionalFormatting>
  <conditionalFormatting sqref="A23:R24">
    <cfRule type="expression" dxfId="112" priority="7">
      <formula>$N$24=0</formula>
    </cfRule>
  </conditionalFormatting>
  <conditionalFormatting sqref="A25:R26">
    <cfRule type="expression" dxfId="111" priority="6">
      <formula>$N$25=0</formula>
    </cfRule>
  </conditionalFormatting>
  <conditionalFormatting sqref="A27:R28">
    <cfRule type="expression" dxfId="110" priority="5">
      <formula>$N$27=0</formula>
    </cfRule>
  </conditionalFormatting>
  <conditionalFormatting sqref="A28:O28 R28">
    <cfRule type="expression" dxfId="109" priority="4">
      <formula>$N$28=0</formula>
    </cfRule>
  </conditionalFormatting>
  <conditionalFormatting sqref="A26:O26 R26">
    <cfRule type="expression" dxfId="108" priority="3">
      <formula>$N$26=0</formula>
    </cfRule>
  </conditionalFormatting>
  <conditionalFormatting sqref="A24:O24 R24">
    <cfRule type="expression" dxfId="107" priority="2">
      <formula>$N$24=0</formula>
    </cfRule>
  </conditionalFormatting>
  <conditionalFormatting sqref="A22:O22 R22">
    <cfRule type="expression" dxfId="106" priority="1">
      <formula>$N$22=0</formula>
    </cfRule>
  </conditionalFormatting>
  <dataValidations count="2">
    <dataValidation type="list" allowBlank="1" showInputMessage="1" showErrorMessage="1" sqref="F16:F2199" xr:uid="{BB0C1454-C08A-4BFE-B6D0-36EC85EFA7B9}">
      <formula1>"Finanziamento,Contributo"</formula1>
    </dataValidation>
    <dataValidation type="list" allowBlank="1" showInputMessage="1" showErrorMessage="1" sqref="C9" xr:uid="{0CDBB1B6-74FA-4266-ACB1-129C58CBA849}">
      <formula1>Tipologie_erogazioni</formula1>
    </dataValidation>
  </dataValidation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5E1B7-9404-4B05-8509-5027891AAF00}">
  <sheetPr codeName="Foglio20"/>
  <dimension ref="B1:S50"/>
  <sheetViews>
    <sheetView topLeftCell="A25" zoomScaleNormal="100" workbookViewId="0">
      <selection activeCell="B16" sqref="B16"/>
    </sheetView>
  </sheetViews>
  <sheetFormatPr defaultColWidth="9.1796875" defaultRowHeight="35.25" customHeight="1" x14ac:dyDescent="0.35"/>
  <cols>
    <col min="1" max="1" width="9.1796875" style="852"/>
    <col min="2" max="2" width="32.54296875" style="851" customWidth="1"/>
    <col min="3" max="3" width="14.26953125" style="852" customWidth="1"/>
    <col min="4" max="4" width="11.26953125" style="852" customWidth="1"/>
    <col min="5" max="5" width="9.1796875" style="852"/>
    <col min="6" max="6" width="14.7265625" style="852" bestFit="1" customWidth="1"/>
    <col min="7" max="7" width="9.1796875" style="852"/>
    <col min="8" max="8" width="23.453125" style="852" customWidth="1"/>
    <col min="9" max="9" width="17.26953125" style="852" customWidth="1"/>
    <col min="10" max="10" width="17.81640625" style="852" customWidth="1"/>
    <col min="11" max="16384" width="9.1796875" style="852"/>
  </cols>
  <sheetData>
    <row r="1" spans="2:19" ht="35.25" customHeight="1" thickBot="1" x14ac:dyDescent="0.4">
      <c r="B1" s="864" t="s">
        <v>2034</v>
      </c>
    </row>
    <row r="2" spans="2:19" ht="35.25" customHeight="1" x14ac:dyDescent="0.35">
      <c r="B2" s="851" t="s">
        <v>2035</v>
      </c>
      <c r="C2" s="1937">
        <f>+'Dati riepilogativi'!B1</f>
        <v>0</v>
      </c>
      <c r="D2" s="1938"/>
      <c r="E2" s="1939"/>
      <c r="F2" s="853" t="s">
        <v>2036</v>
      </c>
      <c r="G2" s="1940" t="str">
        <f>+'Dati riepilogativi'!B2</f>
        <v>Capo III</v>
      </c>
      <c r="H2" s="1941"/>
    </row>
    <row r="3" spans="2:19" ht="35.25" customHeight="1" x14ac:dyDescent="0.35">
      <c r="B3" s="851" t="s">
        <v>2037</v>
      </c>
      <c r="C3" s="1942" t="s">
        <v>2038</v>
      </c>
      <c r="D3" s="1914"/>
      <c r="E3" s="1914"/>
      <c r="F3" s="1914"/>
      <c r="G3" s="1914"/>
      <c r="H3" s="1915"/>
    </row>
    <row r="4" spans="2:19" ht="35.25" customHeight="1" x14ac:dyDescent="0.35">
      <c r="B4" s="851" t="s">
        <v>1873</v>
      </c>
      <c r="C4" s="1942"/>
      <c r="D4" s="1914"/>
      <c r="E4" s="1914"/>
      <c r="F4" s="1914"/>
      <c r="G4" s="1914"/>
      <c r="H4" s="1915"/>
    </row>
    <row r="5" spans="2:19" ht="35.25" customHeight="1" x14ac:dyDescent="0.35">
      <c r="B5" s="851" t="s">
        <v>2039</v>
      </c>
      <c r="C5" s="1942" t="s">
        <v>2040</v>
      </c>
      <c r="D5" s="1914"/>
      <c r="E5" s="1914"/>
      <c r="F5" s="1914"/>
      <c r="G5" s="1914"/>
      <c r="H5" s="1915"/>
      <c r="J5" s="1903" t="str">
        <f>+IF(C5="Procuratore Speciale","La procura deve essere formata direttamente su supporto informatico, sottoscritta digitalmente dal Legale Rappresentante della Società.","")</f>
        <v/>
      </c>
      <c r="K5" s="1903"/>
      <c r="L5" s="1903"/>
      <c r="M5" s="1903"/>
      <c r="N5" s="1903"/>
      <c r="O5" s="1903"/>
      <c r="P5" s="1903"/>
      <c r="Q5" s="1903"/>
      <c r="R5" s="1903"/>
      <c r="S5" s="1903"/>
    </row>
    <row r="6" spans="2:19" ht="35.25" customHeight="1" x14ac:dyDescent="0.35">
      <c r="B6" s="851" t="s">
        <v>2041</v>
      </c>
      <c r="C6" s="1901"/>
      <c r="D6" s="1902"/>
      <c r="E6" s="1902"/>
      <c r="F6" s="1902"/>
      <c r="G6" s="1140" t="s">
        <v>2042</v>
      </c>
      <c r="H6" s="926"/>
      <c r="J6" s="1903" t="str">
        <f>+IF(C5="Procuratore Speciale","Deve essere corredata da autentica notarile digitale di firma, resa da un Notaio, il quale attesti i poteri e le qualità della persona che la conferisce ai sensi art. 25, comma 1, D.Lgs. 7/3/05, n. 82 e ss.mm.ii..","")</f>
        <v/>
      </c>
      <c r="K6" s="1903"/>
      <c r="L6" s="1903"/>
      <c r="M6" s="1903"/>
      <c r="N6" s="1903"/>
      <c r="O6" s="1903"/>
      <c r="P6" s="1903"/>
      <c r="Q6" s="1903"/>
      <c r="R6" s="1903"/>
      <c r="S6" s="1903"/>
    </row>
    <row r="7" spans="2:19" ht="35.25" customHeight="1" x14ac:dyDescent="0.35">
      <c r="B7" s="851" t="s">
        <v>2043</v>
      </c>
      <c r="C7" s="1901"/>
      <c r="D7" s="1902"/>
      <c r="E7" s="1902"/>
      <c r="F7" s="1902"/>
      <c r="G7" s="1943"/>
      <c r="H7" s="926"/>
      <c r="J7" s="1903" t="str">
        <f>+IF(C5="Procuratore Speciale","L’allegazione della procura non è necessaria laddove si tratti della medesima procura, se del caso, già acquisita in sede di stipula del contratto di finanziamento agevolato","")</f>
        <v/>
      </c>
      <c r="K7" s="1903"/>
      <c r="L7" s="1903"/>
      <c r="M7" s="1903"/>
      <c r="N7" s="1903"/>
      <c r="O7" s="1903"/>
      <c r="P7" s="1903"/>
      <c r="Q7" s="1903"/>
      <c r="R7" s="1903"/>
      <c r="S7" s="1903"/>
    </row>
    <row r="8" spans="2:19" ht="35.25" customHeight="1" x14ac:dyDescent="0.35">
      <c r="B8" s="851" t="s">
        <v>2044</v>
      </c>
      <c r="C8" s="1916" t="s">
        <v>2045</v>
      </c>
      <c r="D8" s="1917"/>
      <c r="E8" s="1917"/>
      <c r="F8" s="1918"/>
      <c r="G8" s="852" t="s">
        <v>2046</v>
      </c>
      <c r="H8" s="854" t="s">
        <v>2047</v>
      </c>
    </row>
    <row r="9" spans="2:19" ht="35.25" customHeight="1" x14ac:dyDescent="0.35">
      <c r="B9" s="851" t="s">
        <v>2048</v>
      </c>
      <c r="C9" s="1913"/>
      <c r="D9" s="1914"/>
      <c r="E9" s="1914"/>
      <c r="F9" s="1914"/>
      <c r="G9" s="1914"/>
      <c r="H9" s="1915"/>
    </row>
    <row r="10" spans="2:19" ht="35.25" customHeight="1" x14ac:dyDescent="0.35">
      <c r="B10" s="851" t="s">
        <v>1873</v>
      </c>
      <c r="C10" s="1922"/>
      <c r="D10" s="1923"/>
      <c r="E10" s="1923"/>
      <c r="F10" s="1923"/>
      <c r="G10" s="1923"/>
      <c r="H10" s="1924"/>
    </row>
    <row r="11" spans="2:19" ht="35.25" customHeight="1" x14ac:dyDescent="0.35">
      <c r="B11" s="851" t="s">
        <v>2049</v>
      </c>
      <c r="C11" s="1958"/>
      <c r="D11" s="1914"/>
      <c r="E11" s="1914"/>
      <c r="F11" s="1914"/>
      <c r="G11" s="1914"/>
      <c r="H11" s="1915"/>
    </row>
    <row r="12" spans="2:19" ht="35.25" customHeight="1" x14ac:dyDescent="0.35">
      <c r="B12" s="851" t="s">
        <v>2050</v>
      </c>
      <c r="C12" s="861">
        <v>123456</v>
      </c>
      <c r="D12" s="863" t="s">
        <v>2051</v>
      </c>
      <c r="E12" s="1959" t="s">
        <v>692</v>
      </c>
      <c r="F12" s="1917"/>
      <c r="G12" s="1917"/>
      <c r="H12" s="1960"/>
    </row>
    <row r="13" spans="2:19" ht="35.25" customHeight="1" x14ac:dyDescent="0.35">
      <c r="B13" s="851" t="s">
        <v>2052</v>
      </c>
      <c r="C13" s="1901"/>
      <c r="D13" s="1902"/>
      <c r="E13" s="1902"/>
      <c r="F13" s="1902"/>
      <c r="G13" s="1902"/>
      <c r="H13" s="926"/>
    </row>
    <row r="14" spans="2:19" ht="35.25" customHeight="1" thickBot="1" x14ac:dyDescent="0.4">
      <c r="B14" s="851" t="s">
        <v>2044</v>
      </c>
      <c r="C14" s="1950" t="s">
        <v>2045</v>
      </c>
      <c r="D14" s="1951"/>
      <c r="E14" s="1951"/>
      <c r="F14" s="1951"/>
      <c r="G14" s="855" t="s">
        <v>2046</v>
      </c>
      <c r="H14" s="862" t="s">
        <v>2047</v>
      </c>
    </row>
    <row r="15" spans="2:19" ht="35.25" customHeight="1" x14ac:dyDescent="0.35">
      <c r="B15" s="852"/>
    </row>
    <row r="16" spans="2:19" ht="35.25" customHeight="1" thickBot="1" x14ac:dyDescent="0.4">
      <c r="B16" s="864" t="s">
        <v>2053</v>
      </c>
    </row>
    <row r="17" spans="2:10" ht="35.25" customHeight="1" x14ac:dyDescent="0.35">
      <c r="B17" s="851" t="s">
        <v>1872</v>
      </c>
      <c r="C17" s="1907"/>
      <c r="D17" s="1908"/>
      <c r="E17" s="1909"/>
    </row>
    <row r="18" spans="2:10" ht="35.25" customHeight="1" x14ac:dyDescent="0.35">
      <c r="B18" s="851" t="s">
        <v>2054</v>
      </c>
      <c r="C18" s="1910"/>
      <c r="D18" s="1911"/>
      <c r="E18" s="1912"/>
    </row>
    <row r="19" spans="2:10" ht="35.25" customHeight="1" x14ac:dyDescent="0.35">
      <c r="B19" s="851" t="s">
        <v>2055</v>
      </c>
      <c r="C19" s="1955">
        <f>+'Dati riepilogativi'!B4</f>
        <v>0</v>
      </c>
      <c r="D19" s="1956"/>
      <c r="E19" s="1957"/>
      <c r="J19" s="1112"/>
    </row>
    <row r="20" spans="2:10" ht="35.25" customHeight="1" x14ac:dyDescent="0.35">
      <c r="B20" s="851" t="s">
        <v>2056</v>
      </c>
      <c r="C20" s="1976"/>
      <c r="D20" s="1977"/>
      <c r="E20" s="1978"/>
      <c r="J20" s="1112"/>
    </row>
    <row r="21" spans="2:10" ht="35.25" customHeight="1" x14ac:dyDescent="0.35">
      <c r="B21" s="851" t="s">
        <v>2057</v>
      </c>
      <c r="C21" s="1925"/>
      <c r="D21" s="1926"/>
      <c r="E21" s="1927"/>
    </row>
    <row r="22" spans="2:10" ht="35.25" customHeight="1" x14ac:dyDescent="0.35">
      <c r="B22" s="851" t="s">
        <v>2058</v>
      </c>
      <c r="C22" s="1928" t="str">
        <f>IF(C21="","",+EDATE(C21,24))</f>
        <v/>
      </c>
      <c r="D22" s="1929"/>
      <c r="E22" s="1930"/>
    </row>
    <row r="23" spans="2:10" ht="35.25" customHeight="1" x14ac:dyDescent="0.35">
      <c r="B23" s="851" t="s">
        <v>2059</v>
      </c>
      <c r="C23" s="1925"/>
      <c r="D23" s="1926"/>
      <c r="E23" s="1927"/>
    </row>
    <row r="24" spans="2:10" ht="19.5" customHeight="1" x14ac:dyDescent="0.35">
      <c r="B24" s="851" t="s">
        <v>2060</v>
      </c>
      <c r="C24" s="1952" t="s">
        <v>2061</v>
      </c>
      <c r="D24" s="1953"/>
      <c r="E24" s="1954"/>
    </row>
    <row r="25" spans="2:10" ht="35.25" customHeight="1" x14ac:dyDescent="0.35">
      <c r="B25" s="851" t="s">
        <v>2062</v>
      </c>
      <c r="C25" s="1967" t="s">
        <v>2063</v>
      </c>
      <c r="D25" s="1968"/>
      <c r="E25" s="1969"/>
    </row>
    <row r="26" spans="2:10" ht="35.25" customHeight="1" thickBot="1" x14ac:dyDescent="0.4">
      <c r="B26" s="851" t="s">
        <v>2064</v>
      </c>
      <c r="C26" s="1964" t="str">
        <f>+IF('4 SAL'!F69&gt;0,_xlfn.CONCAT(4,IF('SAL SALDO'!F69,"+SALDO","")),IF('3 SAL'!F366,_xlfn.CONCAT(3,IF('SAL SALDO'!F69,"+SALDO","")),IF('2 SAL'!F69&gt;0,_xlfn.CONCAT(2,IF('SAL SALDO'!F69&lt;&gt;0,"+SALDO","")),IF('1 SAL'!F72&gt;0,_xlfn.CONCAT(1,IF('SAL SALDO'!F69,"+SALDO","")),IF('SAL UNICO'!F71&lt;&gt;0,"UNICO","Nessuno")))))</f>
        <v>Nessuno</v>
      </c>
      <c r="D26" s="1965"/>
      <c r="E26" s="1966"/>
    </row>
    <row r="28" spans="2:10" ht="35.25" customHeight="1" thickBot="1" x14ac:dyDescent="0.4">
      <c r="B28" s="864" t="s">
        <v>2065</v>
      </c>
    </row>
    <row r="29" spans="2:10" ht="35.25" customHeight="1" thickBot="1" x14ac:dyDescent="0.4">
      <c r="B29" s="851" t="s">
        <v>2066</v>
      </c>
      <c r="C29" s="1961">
        <f ca="1">+IF(G2="Capo II",+'Programma di spesa ammesso'!D10-'Programma di spesa ammesso'!F10,'Programma di spesa ammesso'!D21-'Programma di spesa ammesso'!F21)</f>
        <v>10000</v>
      </c>
      <c r="D29" s="1962"/>
      <c r="E29" s="1963"/>
      <c r="H29" s="1157" t="s">
        <v>2067</v>
      </c>
      <c r="I29" s="1158" t="s">
        <v>2068</v>
      </c>
      <c r="J29" s="1156" t="s">
        <v>2069</v>
      </c>
    </row>
    <row r="30" spans="2:10" ht="47.25" customHeight="1" x14ac:dyDescent="0.35">
      <c r="B30" s="851" t="s">
        <v>2070</v>
      </c>
      <c r="C30" s="1931">
        <f ca="1">IF(G2="Capo II",+'Programma di spesa ammesso'!F10,'Programma di spesa ammesso'!F21)</f>
        <v>0</v>
      </c>
      <c r="D30" s="1932"/>
      <c r="E30" s="1933"/>
      <c r="H30" s="873" t="str">
        <f>+IF(G2="Capo II","Opere murarie e assimilate","Acquisto immobile sede dell'attività")</f>
        <v>Acquisto immobile sede dell'attività</v>
      </c>
      <c r="I30" s="870">
        <f ca="1">+IF(G2="Capo II",+'Programma di spesa ammesso'!D4,+'Programma di spesa ammesso'!D17)</f>
        <v>0</v>
      </c>
      <c r="J30" s="866">
        <f ca="1">+IF(G2="Capo II",'Programma di spesa ammesso'!F4,'Programma di spesa ammesso'!F17)</f>
        <v>0</v>
      </c>
    </row>
    <row r="31" spans="2:10" ht="29" x14ac:dyDescent="0.35">
      <c r="B31" s="851" t="s">
        <v>2071</v>
      </c>
      <c r="C31" s="1944">
        <f>IF(G2="Capo II",+'Programma di spesa ammesso'!F11,0)</f>
        <v>0</v>
      </c>
      <c r="D31" s="1945"/>
      <c r="E31" s="1946"/>
      <c r="F31" s="856"/>
      <c r="H31" s="874" t="str">
        <f>+IF(G2="Capo II","Macchinari, impianti ed attrezzature","Opere murarie e assimilate")</f>
        <v>Opere murarie e assimilate</v>
      </c>
      <c r="I31" s="871">
        <f ca="1">+IF(G2="Capo II",+'Programma di spesa ammesso'!D5,'Programma di spesa ammesso'!D18)</f>
        <v>0</v>
      </c>
      <c r="J31" s="867">
        <f>+IF(G2="Capo II",'Programma di spesa ammesso'!F5,'Programma di spesa ammesso'!F18)</f>
        <v>0</v>
      </c>
    </row>
    <row r="32" spans="2:10" ht="29" x14ac:dyDescent="0.35">
      <c r="B32" s="1024" t="s">
        <v>2072</v>
      </c>
      <c r="C32" s="1947">
        <f ca="1">+C30+C31</f>
        <v>0</v>
      </c>
      <c r="D32" s="1948"/>
      <c r="E32" s="1949"/>
      <c r="H32" s="875" t="str">
        <f>+IF(G2="Capo II","Programmi informatici e servizi per le tecnologie dell’informazione e della comunicazione","Macchinari, impianti ed attrezzature")</f>
        <v>Macchinari, impianti ed attrezzature</v>
      </c>
      <c r="I32" s="872">
        <f ca="1">+IF(G2="Capo II",+'Programma di spesa ammesso'!D6,'Programma di spesa ammesso'!D19)</f>
        <v>10000</v>
      </c>
      <c r="J32" s="868">
        <f>+IF(G2="Capo II",'Programma di spesa ammesso'!F6,'Programma di spesa ammesso'!F19)</f>
        <v>0</v>
      </c>
    </row>
    <row r="33" spans="2:10" ht="29" x14ac:dyDescent="0.35">
      <c r="B33" s="851" t="s">
        <v>2073</v>
      </c>
      <c r="C33" s="1931">
        <f>+Coperture_contratto!B12</f>
        <v>0</v>
      </c>
      <c r="D33" s="1932"/>
      <c r="E33" s="1933"/>
      <c r="H33" s="875" t="str">
        <f>+IF(G2="Capo II","Acquisto di brevetti o acquisizione di relative licenze d’uso","Programmi informatici, brevetti, licenze e marchi")</f>
        <v>Programmi informatici, brevetti, licenze e marchi</v>
      </c>
      <c r="I33" s="872">
        <f ca="1">+IF(G2="Capo II",+'Programma di spesa ammesso'!D7,'Programma di spesa ammesso'!D20)</f>
        <v>0</v>
      </c>
      <c r="J33" s="868">
        <f ca="1">+IF(G2="Capo II",+'Programma di spesa ammesso'!F7,'Programma di spesa ammesso'!F20)</f>
        <v>0</v>
      </c>
    </row>
    <row r="34" spans="2:10" ht="31.5" customHeight="1" x14ac:dyDescent="0.35">
      <c r="B34" s="851" t="s">
        <v>2074</v>
      </c>
      <c r="C34" s="1931">
        <f>+Coperture_contratto!B14</f>
        <v>0</v>
      </c>
      <c r="D34" s="1932"/>
      <c r="E34" s="1933"/>
      <c r="H34" s="875" t="str">
        <f>+IF(G2="Capo II","Consulenze specialistiche","TOTALE PROGRAMMA DI SPESA")</f>
        <v>TOTALE PROGRAMMA DI SPESA</v>
      </c>
      <c r="I34" s="872">
        <f ca="1">+IF(G2="Capo II",'Programma di spesa ammesso'!D8,+SUM(I30:I33))</f>
        <v>10000</v>
      </c>
      <c r="J34" s="868">
        <f ca="1">+IF(G2="Capo II",'Programma di spesa ammesso'!F8,+SUM(J30:J33))</f>
        <v>0</v>
      </c>
    </row>
    <row r="35" spans="2:10" ht="35.25" customHeight="1" thickBot="1" x14ac:dyDescent="0.4">
      <c r="B35" s="857" t="s">
        <v>2075</v>
      </c>
      <c r="C35" s="1944">
        <f>+SUM(C33:E34)</f>
        <v>0</v>
      </c>
      <c r="D35" s="1945"/>
      <c r="E35" s="1946"/>
      <c r="H35" s="876" t="str">
        <f>+IF(G2="Capo II","Oneri notarili connessi alla stipula del contratto di finanziamento ed oneri connessi alla costituzione della società","")</f>
        <v/>
      </c>
      <c r="I35" s="878" t="str">
        <f>+IF(G2="Capo II",'Programma di spesa ammesso'!D9,"")</f>
        <v/>
      </c>
      <c r="J35" s="879" t="str">
        <f>+IF(G2="Capo II",'Programma di spesa ammesso'!F9,"")</f>
        <v/>
      </c>
    </row>
    <row r="36" spans="2:10" ht="35.25" customHeight="1" thickBot="1" x14ac:dyDescent="0.4">
      <c r="B36" s="858" t="s">
        <v>2076</v>
      </c>
      <c r="C36" s="1931">
        <f>IF(G2="Capo II",+'Calcolo contributo CAPO II'!C31,GBER!C38)</f>
        <v>0</v>
      </c>
      <c r="D36" s="1932"/>
      <c r="E36" s="1933"/>
      <c r="H36" s="1153" t="str">
        <f>+IF(G2="Capo II","TOTALE INVESTIMENTO","")</f>
        <v/>
      </c>
      <c r="I36" s="1154" t="str">
        <f>+IF(G2="Capo II",+SUM(I30:I35),"")</f>
        <v/>
      </c>
      <c r="J36" s="1155" t="str">
        <f>+IF(G2="Capo II",+SUM(J30:J35),"")</f>
        <v/>
      </c>
    </row>
    <row r="37" spans="2:10" ht="35.25" customHeight="1" thickBot="1" x14ac:dyDescent="0.4">
      <c r="B37" s="858" t="s">
        <v>2077</v>
      </c>
      <c r="C37" s="1931">
        <f>IF(G2="Capo II",+'Calcolo contributo CAPO II'!C33,GBER!C40)</f>
        <v>0</v>
      </c>
      <c r="D37" s="1932"/>
      <c r="E37" s="1933"/>
      <c r="H37" s="880" t="str">
        <f>+IF(G2="Capo II","Capitale circolante","")</f>
        <v/>
      </c>
      <c r="I37" s="881" t="str">
        <f>+IF(G2="Capo II",'Programma di spesa ammesso'!D11,"")</f>
        <v/>
      </c>
      <c r="J37" s="882" t="str">
        <f>+IF(G2="Capo II",'Programma di spesa ammesso'!F11,"")</f>
        <v/>
      </c>
    </row>
    <row r="38" spans="2:10" ht="35.25" customHeight="1" thickBot="1" x14ac:dyDescent="0.4">
      <c r="B38" s="857" t="s">
        <v>2078</v>
      </c>
      <c r="C38" s="1973">
        <f>+C37+C36</f>
        <v>0</v>
      </c>
      <c r="D38" s="1974"/>
      <c r="E38" s="1975"/>
      <c r="F38" s="1014" t="e">
        <f ca="1">+C38/(C30+C31)</f>
        <v>#DIV/0!</v>
      </c>
      <c r="H38" s="1153" t="str">
        <f>+IF(G2="Capo II","TOTALE PROGRAMMA DI SPESA","")</f>
        <v/>
      </c>
      <c r="I38" s="1154" t="str">
        <f>+IF(G2="Capo II",+I36+I37,"")</f>
        <v/>
      </c>
      <c r="J38" s="1155" t="str">
        <f>+IF(G2="Capo II",J36+J37,"")</f>
        <v/>
      </c>
    </row>
    <row r="39" spans="2:10" ht="35.25" customHeight="1" x14ac:dyDescent="0.35">
      <c r="B39" s="857"/>
      <c r="C39" s="865"/>
      <c r="D39" s="865"/>
      <c r="E39" s="865"/>
    </row>
    <row r="40" spans="2:10" ht="35.25" customHeight="1" thickBot="1" x14ac:dyDescent="0.4">
      <c r="B40" s="864" t="s">
        <v>2079</v>
      </c>
      <c r="C40" s="865"/>
      <c r="D40" s="865"/>
      <c r="E40" s="865"/>
    </row>
    <row r="41" spans="2:10" ht="35.25" customHeight="1" thickBot="1" x14ac:dyDescent="0.4">
      <c r="B41" s="851" t="s">
        <v>2080</v>
      </c>
      <c r="C41" s="1970" t="str">
        <f>+IF(C38&gt;=250000,J31,"n.a.")</f>
        <v>n.a.</v>
      </c>
      <c r="D41" s="1971"/>
      <c r="E41" s="1972"/>
    </row>
    <row r="42" spans="2:10" ht="35.25" customHeight="1" thickBot="1" x14ac:dyDescent="0.4">
      <c r="B42" s="851" t="s">
        <v>2081</v>
      </c>
      <c r="C42" s="1934" t="str">
        <f ca="1">+IF(AND(G2="Capo III",C38&gt;250000,J30&gt;0),J30,"n.a.")</f>
        <v>n.a.</v>
      </c>
      <c r="D42" s="1935"/>
      <c r="E42" s="1936"/>
    </row>
    <row r="43" spans="2:10" ht="35.25" customHeight="1" x14ac:dyDescent="0.35">
      <c r="B43" s="857"/>
      <c r="C43" s="865"/>
      <c r="D43" s="865"/>
      <c r="E43" s="865"/>
    </row>
    <row r="44" spans="2:10" ht="35.25" customHeight="1" x14ac:dyDescent="0.35">
      <c r="B44" s="857"/>
      <c r="C44" s="865"/>
      <c r="D44" s="865"/>
      <c r="E44" s="865"/>
    </row>
    <row r="45" spans="2:10" ht="35.25" customHeight="1" thickBot="1" x14ac:dyDescent="0.4">
      <c r="B45" s="864" t="s">
        <v>2082</v>
      </c>
    </row>
    <row r="46" spans="2:10" ht="35.25" customHeight="1" x14ac:dyDescent="0.35">
      <c r="B46" s="859" t="s">
        <v>2083</v>
      </c>
      <c r="C46" s="1919" t="s">
        <v>2084</v>
      </c>
      <c r="D46" s="1920"/>
      <c r="E46" s="1920"/>
      <c r="F46" s="1920"/>
      <c r="G46" s="1920"/>
      <c r="H46" s="1921"/>
    </row>
    <row r="47" spans="2:10" ht="35.25" customHeight="1" x14ac:dyDescent="0.35">
      <c r="B47" s="860" t="s">
        <v>2085</v>
      </c>
      <c r="C47" s="1904" t="s">
        <v>2086</v>
      </c>
      <c r="D47" s="1905"/>
      <c r="E47" s="1905"/>
      <c r="F47" s="1905"/>
      <c r="G47" s="1905"/>
      <c r="H47" s="1906"/>
    </row>
    <row r="48" spans="2:10" ht="35.25" customHeight="1" thickBot="1" x14ac:dyDescent="0.4">
      <c r="B48" s="860" t="s">
        <v>630</v>
      </c>
      <c r="C48" s="1904" t="s">
        <v>2087</v>
      </c>
      <c r="D48" s="1905"/>
      <c r="E48" s="1905"/>
      <c r="F48" s="1905"/>
      <c r="G48" s="1905"/>
      <c r="H48" s="1906"/>
    </row>
    <row r="49" spans="2:8" ht="35.25" customHeight="1" thickBot="1" x14ac:dyDescent="0.4">
      <c r="B49" s="913"/>
      <c r="C49" s="913"/>
      <c r="D49" s="914" t="s">
        <v>2088</v>
      </c>
      <c r="E49" s="915" t="s">
        <v>2089</v>
      </c>
      <c r="F49" s="915" t="s">
        <v>2090</v>
      </c>
      <c r="G49" s="915" t="s">
        <v>2091</v>
      </c>
      <c r="H49" s="916" t="s">
        <v>2092</v>
      </c>
    </row>
    <row r="50" spans="2:8" ht="35.25" customHeight="1" thickBot="1" x14ac:dyDescent="0.4">
      <c r="B50" s="851" t="s">
        <v>2093</v>
      </c>
      <c r="C50" s="928" t="s">
        <v>2094</v>
      </c>
      <c r="D50" s="927"/>
      <c r="E50" s="927"/>
      <c r="F50" s="927"/>
      <c r="G50" s="927"/>
      <c r="H50" s="932"/>
    </row>
  </sheetData>
  <mergeCells count="42">
    <mergeCell ref="C41:E41"/>
    <mergeCell ref="C36:E36"/>
    <mergeCell ref="C37:E37"/>
    <mergeCell ref="C38:E38"/>
    <mergeCell ref="C20:E20"/>
    <mergeCell ref="C7:G7"/>
    <mergeCell ref="C13:G13"/>
    <mergeCell ref="C34:E34"/>
    <mergeCell ref="C35:E35"/>
    <mergeCell ref="C32:E32"/>
    <mergeCell ref="C14:F14"/>
    <mergeCell ref="C24:E24"/>
    <mergeCell ref="C23:E23"/>
    <mergeCell ref="C19:E19"/>
    <mergeCell ref="C11:H11"/>
    <mergeCell ref="E12:H12"/>
    <mergeCell ref="C29:E29"/>
    <mergeCell ref="C30:E30"/>
    <mergeCell ref="C31:E31"/>
    <mergeCell ref="C26:E26"/>
    <mergeCell ref="C25:E25"/>
    <mergeCell ref="C2:E2"/>
    <mergeCell ref="G2:H2"/>
    <mergeCell ref="C3:H3"/>
    <mergeCell ref="C4:H4"/>
    <mergeCell ref="C5:H5"/>
    <mergeCell ref="C6:F6"/>
    <mergeCell ref="J5:S5"/>
    <mergeCell ref="C48:H48"/>
    <mergeCell ref="C17:E17"/>
    <mergeCell ref="C18:E18"/>
    <mergeCell ref="C9:H9"/>
    <mergeCell ref="J6:S6"/>
    <mergeCell ref="J7:S7"/>
    <mergeCell ref="C8:F8"/>
    <mergeCell ref="C46:H46"/>
    <mergeCell ref="C47:H47"/>
    <mergeCell ref="C10:H10"/>
    <mergeCell ref="C21:E21"/>
    <mergeCell ref="C22:E22"/>
    <mergeCell ref="C33:E33"/>
    <mergeCell ref="C42:E42"/>
  </mergeCells>
  <conditionalFormatting sqref="H34:J34">
    <cfRule type="expression" dxfId="105" priority="2">
      <formula>+IF($G$2="Capo III",1,0)</formula>
    </cfRule>
  </conditionalFormatting>
  <conditionalFormatting sqref="H35:J38">
    <cfRule type="expression" dxfId="104" priority="1">
      <formula>+IF($G$2="Capo III",1,0)</formula>
    </cfRule>
  </conditionalFormatting>
  <dataValidations count="18">
    <dataValidation allowBlank="1" showInputMessage="1" showErrorMessage="1" prompt="Inserire città della CCIAA di iscrizione_x000a_" sqref="F15:H18 E12:H12 E15:E16" xr:uid="{D03A1F4A-4D23-4651-A945-FB6E149BE599}"/>
    <dataValidation allowBlank="1" showInputMessage="1" showErrorMessage="1" prompt="Numero CCIAA" sqref="C12 C15:C16" xr:uid="{EBC50441-9780-4F80-B60F-75224CCF92A3}"/>
    <dataValidation type="textLength" errorStyle="information" allowBlank="1" showInputMessage="1" showErrorMessage="1" errorTitle="Superamento IVA" error="Non è stata inserita la Partita IVA che rispetta i requsiti di 11 caratteri" prompt="Partita IVA dell'Impresa Beneficiaria" sqref="C11:H11" xr:uid="{DC023570-CBE1-4FB0-8317-879BEBABB4B6}">
      <formula1>11</formula1>
      <formula2>11</formula2>
    </dataValidation>
    <dataValidation allowBlank="1" showInputMessage="1" showErrorMessage="1" prompt="Inserire PEC dell'Impresa Beneficaria" sqref="C9:H9" xr:uid="{9CDD424E-DEBC-455E-8BE9-9C0303B29AD3}"/>
    <dataValidation type="textLength" allowBlank="1" showInputMessage="1" showErrorMessage="1" sqref="H8 H14" xr:uid="{620FB342-786B-4ADF-8077-69A3CC8511F1}">
      <formula1>2</formula1>
      <formula2>2</formula2>
    </dataValidation>
    <dataValidation type="textLength" allowBlank="1" showInputMessage="1" showErrorMessage="1" prompt="Codice fiscale del referente" sqref="C4:H4" xr:uid="{D37F5FD4-EEEB-4E5C-8AA9-7F3AEB71694E}">
      <formula1>16</formula1>
      <formula2>16</formula2>
    </dataValidation>
    <dataValidation allowBlank="1" showInputMessage="1" showErrorMessage="1" prompt="Denominazione estesa società beneficiaria comprensiva della forma societaria" sqref="C6" xr:uid="{ED72D932-58CA-4187-B17B-8728867B8269}"/>
    <dataValidation allowBlank="1" showInputMessage="1" showErrorMessage="1" prompt="Inserire Cognome e Nome" sqref="C3:H3" xr:uid="{B0C62645-6D9F-4F00-9286-4ECDF879A663}"/>
    <dataValidation type="list" allowBlank="1" showInputMessage="1" showErrorMessage="1" prompt="Scegliere una delle 2 opzioni" sqref="C5:H5" xr:uid="{8B285930-4AD6-4B34-B4B4-E690424955E4}">
      <formula1>"Legale Rappresentante, Procuratore Speciale"</formula1>
    </dataValidation>
    <dataValidation type="textLength" operator="equal" allowBlank="1" showInputMessage="1" showErrorMessage="1" prompt="Codice Fiscale dell'Impresa Beneficaria" sqref="C10:H10" xr:uid="{2932C37E-A396-4BF7-8B09-C5DD54B89715}">
      <formula1>11</formula1>
    </dataValidation>
    <dataValidation type="textLength" operator="equal" allowBlank="1" showInputMessage="1" showErrorMessage="1" sqref="H7 H13" xr:uid="{E7356148-0E5F-446B-A2C6-DAFC92DD162A}">
      <formula1>5</formula1>
    </dataValidation>
    <dataValidation type="textLength" errorStyle="information" operator="equal" allowBlank="1" showInputMessage="1" showErrorMessage="1" errorTitle="Numero dati Sbagliati" error="Devono essere 5 cifre" sqref="G50 F50" xr:uid="{22A69DB2-46FE-4775-8CC8-15D59C5EAA3B}">
      <formula1>5</formula1>
    </dataValidation>
    <dataValidation type="textLength" errorStyle="information" operator="equal" allowBlank="1" showInputMessage="1" showErrorMessage="1" errorTitle="Numero dati Sbagliati" error="Deve essere 1 cifra" sqref="E50" xr:uid="{3BEF88B7-2E25-45D3-8B5C-A3B24C1D01CD}">
      <formula1>1</formula1>
    </dataValidation>
    <dataValidation type="textLength" errorStyle="information" operator="equal" allowBlank="1" showInputMessage="1" showErrorMessage="1" errorTitle="Numero dati Sbagliati" error="Devono essere 2 cifre" sqref="D50" xr:uid="{2250E2A4-A4CB-4872-92AB-94BD77A53D3D}">
      <formula1>2</formula1>
    </dataValidation>
    <dataValidation type="textLength" errorStyle="information" operator="equal" allowBlank="1" showInputMessage="1" showErrorMessage="1" errorTitle="Numero dati Sbagliati" error="Devono essere 12 cifre_x000a_" sqref="H50" xr:uid="{7597E79D-636A-4640-8BB0-222EE11380B1}">
      <formula1>12</formula1>
    </dataValidation>
    <dataValidation type="list" allowBlank="1" showInputMessage="1" showErrorMessage="1" sqref="C24" xr:uid="{10CB0BEE-BBAC-4594-8CB9-BD4A99E4B179}">
      <formula1>Fonti_Mutuo</formula1>
    </dataValidation>
    <dataValidation type="list" allowBlank="1" showInputMessage="1" showErrorMessage="1" sqref="C25" xr:uid="{661BDE51-B67F-4B52-8800-B6BF8B057AEB}">
      <formula1>"NIT2 - NIT 2.0 - Fondo perduto"</formula1>
    </dataValidation>
    <dataValidation type="list" allowBlank="1" showInputMessage="1" showErrorMessage="1" prompt="Forma societaria" sqref="H6" xr:uid="{28C1D8FC-CE55-4BD6-B17B-CCEC1856BE64}">
      <formula1>Forma_societaria</formula1>
    </dataValidation>
  </dataValidations>
  <pageMargins left="0.7" right="0.7" top="0.75" bottom="0.75" header="0.3" footer="0.3"/>
  <pageSetup scale="45"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700BB-702D-4471-946F-7CEB0B709B84}">
  <sheetPr codeName="Foglio35"/>
  <dimension ref="A1:L6"/>
  <sheetViews>
    <sheetView topLeftCell="D1" workbookViewId="0">
      <selection activeCell="J1" sqref="A1:J1048576"/>
    </sheetView>
  </sheetViews>
  <sheetFormatPr defaultRowHeight="14.5" x14ac:dyDescent="0.35"/>
  <cols>
    <col min="1" max="1" width="40.54296875" customWidth="1"/>
    <col min="2" max="2" width="25" customWidth="1"/>
    <col min="3" max="3" width="30.7265625" customWidth="1"/>
    <col min="4" max="4" width="46.81640625" customWidth="1"/>
    <col min="5" max="5" width="14.54296875" customWidth="1"/>
    <col min="6" max="7" width="9.1796875" customWidth="1"/>
    <col min="8" max="8" width="12.7265625" customWidth="1"/>
    <col min="9" max="9" width="15.26953125" customWidth="1"/>
    <col min="10" max="10" width="18.1796875" customWidth="1"/>
  </cols>
  <sheetData>
    <row r="1" spans="1:12" ht="29.5" thickBot="1" x14ac:dyDescent="0.4">
      <c r="A1" t="s">
        <v>2095</v>
      </c>
      <c r="B1" s="1179" t="s">
        <v>2096</v>
      </c>
      <c r="C1" s="1180" t="s">
        <v>2097</v>
      </c>
      <c r="D1" s="1181" t="s">
        <v>2094</v>
      </c>
      <c r="E1" s="1181" t="s">
        <v>2088</v>
      </c>
      <c r="F1" s="1181" t="s">
        <v>2089</v>
      </c>
      <c r="G1" s="1181" t="s">
        <v>2090</v>
      </c>
      <c r="H1" s="1181" t="s">
        <v>2091</v>
      </c>
      <c r="I1" s="1182" t="s">
        <v>2092</v>
      </c>
      <c r="J1" s="1274" t="s">
        <v>2098</v>
      </c>
      <c r="K1" s="1316" t="s">
        <v>2025</v>
      </c>
      <c r="L1" s="1316" t="s">
        <v>2026</v>
      </c>
    </row>
    <row r="2" spans="1:12" ht="18" customHeight="1" x14ac:dyDescent="0.35">
      <c r="A2" s="1171" t="s">
        <v>2061</v>
      </c>
      <c r="B2" s="1172" t="s">
        <v>2099</v>
      </c>
      <c r="C2" s="1173" t="str">
        <f>+H2</f>
        <v>03243</v>
      </c>
      <c r="D2" s="1174" t="s">
        <v>2100</v>
      </c>
      <c r="E2" s="1175" t="s">
        <v>282</v>
      </c>
      <c r="F2" s="1175" t="s">
        <v>358</v>
      </c>
      <c r="G2" s="1175" t="s">
        <v>2101</v>
      </c>
      <c r="H2" s="1174" t="s">
        <v>2102</v>
      </c>
      <c r="I2" s="1226" t="s">
        <v>2103</v>
      </c>
      <c r="J2" s="1275">
        <v>210</v>
      </c>
      <c r="K2" s="1317" t="s">
        <v>2104</v>
      </c>
      <c r="L2" s="1317" t="s">
        <v>2105</v>
      </c>
    </row>
    <row r="3" spans="1:12" ht="13.5" customHeight="1" x14ac:dyDescent="0.35">
      <c r="A3" s="1176" t="s">
        <v>2106</v>
      </c>
      <c r="B3" s="1170" t="str">
        <f>+B5</f>
        <v>Unicredit S.p.A.</v>
      </c>
      <c r="C3" s="1169" t="str">
        <f>+H3</f>
        <v>05364</v>
      </c>
      <c r="D3" s="1169" t="s">
        <v>2094</v>
      </c>
      <c r="E3" s="1169" t="s">
        <v>264</v>
      </c>
      <c r="F3" s="1169" t="s">
        <v>251</v>
      </c>
      <c r="G3" s="1169" t="s">
        <v>2107</v>
      </c>
      <c r="H3" s="1168" t="s">
        <v>2108</v>
      </c>
      <c r="I3" s="1227" t="s">
        <v>2109</v>
      </c>
      <c r="J3" s="1275">
        <v>212</v>
      </c>
      <c r="K3" s="1317" t="s">
        <v>2110</v>
      </c>
      <c r="L3" s="1317" t="s">
        <v>2111</v>
      </c>
    </row>
    <row r="4" spans="1:12" x14ac:dyDescent="0.35">
      <c r="A4" s="1176" t="s">
        <v>2112</v>
      </c>
      <c r="B4" s="1166" t="s">
        <v>2099</v>
      </c>
      <c r="C4" s="1168" t="str">
        <f>+H4</f>
        <v>03243</v>
      </c>
      <c r="D4" s="1168" t="s">
        <v>2094</v>
      </c>
      <c r="E4" s="1168" t="s">
        <v>347</v>
      </c>
      <c r="F4" s="1168" t="s">
        <v>335</v>
      </c>
      <c r="G4" s="1168" t="s">
        <v>2101</v>
      </c>
      <c r="H4" s="1168" t="s">
        <v>2102</v>
      </c>
      <c r="I4" s="1227" t="s">
        <v>2113</v>
      </c>
      <c r="J4" s="1275">
        <v>204</v>
      </c>
      <c r="K4" s="1318" t="s">
        <v>2114</v>
      </c>
      <c r="L4" s="1318" t="s">
        <v>2115</v>
      </c>
    </row>
    <row r="5" spans="1:12" x14ac:dyDescent="0.35">
      <c r="A5" s="1176" t="s">
        <v>2116</v>
      </c>
      <c r="B5" s="1166" t="s">
        <v>2117</v>
      </c>
      <c r="C5" s="1167" t="str">
        <f>+H5</f>
        <v>05364</v>
      </c>
      <c r="D5" s="1168" t="s">
        <v>2094</v>
      </c>
      <c r="E5" s="1169" t="s">
        <v>355</v>
      </c>
      <c r="F5" s="1169" t="s">
        <v>346</v>
      </c>
      <c r="G5" s="1169" t="s">
        <v>2107</v>
      </c>
      <c r="H5" s="1168" t="s">
        <v>2108</v>
      </c>
      <c r="I5" s="1228" t="s">
        <v>2118</v>
      </c>
      <c r="J5" s="1275">
        <v>211</v>
      </c>
      <c r="K5" s="1317" t="s">
        <v>2119</v>
      </c>
      <c r="L5" s="1317" t="s">
        <v>2120</v>
      </c>
    </row>
    <row r="6" spans="1:12" ht="15" thickBot="1" x14ac:dyDescent="0.4">
      <c r="A6" s="1177" t="s">
        <v>2063</v>
      </c>
      <c r="B6" s="1178" t="s">
        <v>2121</v>
      </c>
      <c r="C6" s="1224" t="str">
        <f>+H6</f>
        <v>01604</v>
      </c>
      <c r="D6" s="1230" t="s">
        <v>2094</v>
      </c>
      <c r="E6" s="1224">
        <v>85</v>
      </c>
      <c r="F6" s="1224" t="s">
        <v>2122</v>
      </c>
      <c r="G6" s="1225" t="s">
        <v>2123</v>
      </c>
      <c r="H6" s="1225" t="s">
        <v>2124</v>
      </c>
      <c r="I6" s="1229" t="s">
        <v>2125</v>
      </c>
      <c r="J6" s="1275">
        <v>199</v>
      </c>
      <c r="K6" s="1317" t="s">
        <v>2126</v>
      </c>
      <c r="L6" s="1317" t="s">
        <v>2127</v>
      </c>
    </row>
  </sheetData>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29205-96E3-4447-841D-CB19B235EE53}">
  <sheetPr codeName="Foglio21"/>
  <dimension ref="A1:K52"/>
  <sheetViews>
    <sheetView zoomScale="80" zoomScaleNormal="80" workbookViewId="0">
      <selection activeCell="B16" sqref="B16"/>
    </sheetView>
  </sheetViews>
  <sheetFormatPr defaultColWidth="9.1796875" defaultRowHeight="14.5" x14ac:dyDescent="0.35"/>
  <cols>
    <col min="1" max="1" width="2.26953125" style="883" customWidth="1"/>
    <col min="2" max="2" width="14.1796875" style="883" customWidth="1"/>
    <col min="3" max="3" width="11.54296875" style="883" customWidth="1"/>
    <col min="4" max="4" width="11.26953125" style="883" customWidth="1"/>
    <col min="5" max="5" width="19.453125" style="883" customWidth="1"/>
    <col min="6" max="6" width="20.26953125" style="883" customWidth="1"/>
    <col min="7" max="7" width="23.453125" style="883" customWidth="1"/>
    <col min="8" max="8" width="19.81640625" style="883" customWidth="1"/>
    <col min="9" max="9" width="22.54296875" style="883" customWidth="1"/>
    <col min="10" max="10" width="13.7265625" style="883" bestFit="1" customWidth="1"/>
    <col min="11" max="16384" width="9.1796875" style="883"/>
  </cols>
  <sheetData>
    <row r="1" spans="1:11" ht="15" thickBot="1" x14ac:dyDescent="0.4"/>
    <row r="2" spans="1:11" ht="21" customHeight="1" x14ac:dyDescent="0.35">
      <c r="A2" s="883" t="s">
        <v>626</v>
      </c>
      <c r="B2" s="2021" t="s">
        <v>2128</v>
      </c>
      <c r="C2" s="2022"/>
      <c r="D2" s="2022"/>
      <c r="E2" s="2022"/>
      <c r="F2" s="2022"/>
      <c r="G2" s="2022"/>
      <c r="H2" s="2022"/>
      <c r="I2" s="2022"/>
      <c r="J2" s="2023"/>
      <c r="K2" s="884"/>
    </row>
    <row r="3" spans="1:11" x14ac:dyDescent="0.35">
      <c r="B3" s="885"/>
      <c r="C3" s="886"/>
      <c r="D3" s="886"/>
      <c r="E3" s="886"/>
      <c r="F3" s="886"/>
      <c r="G3" s="886"/>
      <c r="H3" s="886"/>
      <c r="I3" s="886"/>
      <c r="J3" s="887"/>
      <c r="K3" s="886"/>
    </row>
    <row r="4" spans="1:11" x14ac:dyDescent="0.35">
      <c r="B4" s="888" t="s">
        <v>2129</v>
      </c>
      <c r="C4" s="2035" t="str">
        <f>+IF(Anagrafica!C6="","",Anagrafica!C6)</f>
        <v/>
      </c>
      <c r="D4" s="2035"/>
      <c r="E4" s="2035"/>
      <c r="F4" s="2035"/>
      <c r="G4" s="889" t="s">
        <v>2130</v>
      </c>
      <c r="H4" s="1002">
        <f>+IF(Anagrafica!C2="","",Anagrafica!C2)</f>
        <v>0</v>
      </c>
      <c r="I4" s="1003" t="s">
        <v>1</v>
      </c>
      <c r="J4" s="890" t="str">
        <f>+Anagrafica!G2</f>
        <v>Capo III</v>
      </c>
    </row>
    <row r="5" spans="1:11" x14ac:dyDescent="0.35">
      <c r="B5" s="891"/>
      <c r="J5" s="892"/>
    </row>
    <row r="6" spans="1:11" x14ac:dyDescent="0.35">
      <c r="B6" s="2024" t="s">
        <v>2131</v>
      </c>
      <c r="C6" s="2025"/>
      <c r="D6" s="2025"/>
      <c r="E6" s="2025"/>
      <c r="F6" s="2025"/>
      <c r="G6" s="2025"/>
      <c r="H6" s="2026" t="str">
        <f>+IF(Anagrafica!C5="","",Anagrafica!C5)</f>
        <v>Legale Rappresentante</v>
      </c>
      <c r="I6" s="2026"/>
      <c r="J6" s="2027"/>
    </row>
    <row r="7" spans="1:11" x14ac:dyDescent="0.35">
      <c r="B7" s="891"/>
      <c r="J7" s="892"/>
    </row>
    <row r="8" spans="1:11" x14ac:dyDescent="0.35">
      <c r="B8" s="2028" t="str">
        <f>IF(OR(Anagrafica!C3="",Anagrafica!C4=""),"",CONCATENATE(Anagrafica!C3," codice fiscale ",Anagrafica!C4))</f>
        <v/>
      </c>
      <c r="C8" s="2026"/>
      <c r="D8" s="2026"/>
      <c r="E8" s="2026"/>
      <c r="F8" s="2026"/>
      <c r="G8" s="2026"/>
      <c r="H8" s="2026"/>
      <c r="I8" s="2026"/>
      <c r="J8" s="2027"/>
    </row>
    <row r="9" spans="1:11" x14ac:dyDescent="0.35">
      <c r="B9" s="891"/>
      <c r="J9" s="892"/>
    </row>
    <row r="10" spans="1:11" x14ac:dyDescent="0.35">
      <c r="B10" s="2036" t="s">
        <v>2132</v>
      </c>
      <c r="C10" s="2038" t="str">
        <f>IF(OR(Anagrafica!C7="",Anagrafica!C8="",Anagrafica!H8=""),"",CONCATENATE(Anagrafica!C7," - ",Anagrafica!C8," (",Anagrafica!H8,")"))</f>
        <v/>
      </c>
      <c r="D10" s="2038"/>
      <c r="E10" s="2038"/>
      <c r="F10" s="2038"/>
      <c r="G10" s="2038"/>
      <c r="H10" s="2038"/>
      <c r="I10" s="2038"/>
      <c r="J10" s="2039"/>
    </row>
    <row r="11" spans="1:11" x14ac:dyDescent="0.35">
      <c r="B11" s="2037"/>
      <c r="C11" s="2040"/>
      <c r="D11" s="2040"/>
      <c r="E11" s="2040"/>
      <c r="F11" s="2040"/>
      <c r="G11" s="2040"/>
      <c r="H11" s="2040"/>
      <c r="I11" s="2040"/>
      <c r="J11" s="2041"/>
    </row>
    <row r="12" spans="1:11" x14ac:dyDescent="0.35">
      <c r="B12" s="891"/>
      <c r="J12" s="892"/>
    </row>
    <row r="13" spans="1:11" x14ac:dyDescent="0.35">
      <c r="B13" s="888" t="s">
        <v>2049</v>
      </c>
      <c r="C13" s="2035" t="str">
        <f>+IF(Anagrafica!C11="","",Anagrafica!C11)</f>
        <v/>
      </c>
      <c r="D13" s="2035"/>
      <c r="F13" s="893" t="s">
        <v>2133</v>
      </c>
      <c r="G13" s="2035" t="str">
        <f>+IF(OR(Anagrafica!C12="",Anagrafica!E12=""),"",CONCATENATE(Anagrafica!E12," al N° ",Anagrafica!C12))</f>
        <v>Roma al N° 123456</v>
      </c>
      <c r="H13" s="2035"/>
      <c r="I13" s="2035"/>
      <c r="J13" s="2042"/>
    </row>
    <row r="14" spans="1:11" x14ac:dyDescent="0.35">
      <c r="B14" s="891"/>
      <c r="J14" s="892"/>
    </row>
    <row r="15" spans="1:11" x14ac:dyDescent="0.35">
      <c r="B15" s="888" t="s">
        <v>2048</v>
      </c>
      <c r="C15" s="2035" t="str">
        <f>+IF(Anagrafica!C9="","",Anagrafica!C9)</f>
        <v/>
      </c>
      <c r="D15" s="2035"/>
      <c r="E15" s="2035"/>
      <c r="F15" s="2035"/>
      <c r="G15" s="2035"/>
      <c r="H15" s="2035"/>
      <c r="I15" s="2035"/>
      <c r="J15" s="2042"/>
    </row>
    <row r="16" spans="1:11" x14ac:dyDescent="0.35">
      <c r="B16" s="891"/>
      <c r="J16" s="892"/>
    </row>
    <row r="17" spans="2:11" ht="19" thickBot="1" x14ac:dyDescent="0.4">
      <c r="B17" s="2043" t="s">
        <v>2134</v>
      </c>
      <c r="C17" s="2044"/>
      <c r="D17" s="2044"/>
      <c r="E17" s="2044"/>
      <c r="F17" s="2044"/>
      <c r="G17" s="2044"/>
      <c r="H17" s="2044"/>
      <c r="I17" s="2044"/>
      <c r="J17" s="2045"/>
    </row>
    <row r="18" spans="2:11" ht="15" thickBot="1" x14ac:dyDescent="0.4">
      <c r="B18" s="891" t="s">
        <v>2135</v>
      </c>
      <c r="C18" s="894">
        <v>0</v>
      </c>
      <c r="D18" s="883" t="s">
        <v>2136</v>
      </c>
      <c r="E18" s="895">
        <f>IFERROR(IF(C18/Anagrafica!C38&lt;=40%,C18/Anagrafica!C38,"Errore"),0)</f>
        <v>0</v>
      </c>
      <c r="F18" s="883" t="s">
        <v>2137</v>
      </c>
      <c r="H18" s="896"/>
      <c r="I18" s="896"/>
      <c r="J18" s="897" t="str">
        <f>+IF(Anagrafica!C38=0,"",Anagrafica!C38)</f>
        <v/>
      </c>
      <c r="K18" s="898"/>
    </row>
    <row r="19" spans="2:11" x14ac:dyDescent="0.35">
      <c r="B19" s="2046" t="str">
        <f>+CONCATENATE("La somma eventualmente erogata dovrà essere accreditata sul c/c bancario intestato alla Società istituito presso l'istituto di credito ",Anagrafica!C46," - Filiale/Agenzia ",+Anagrafica!C47)</f>
        <v>La somma eventualmente erogata dovrà essere accreditata sul c/c bancario intestato alla Società istituito presso l'istituto di credito BANCA SELLA - Filiale/Agenzia AGENZIA 30</v>
      </c>
      <c r="C19" s="2047"/>
      <c r="D19" s="2047"/>
      <c r="E19" s="2047"/>
      <c r="F19" s="2047"/>
      <c r="G19" s="2047"/>
      <c r="H19" s="2047"/>
      <c r="I19" s="2047"/>
      <c r="J19" s="2048"/>
    </row>
    <row r="20" spans="2:11" x14ac:dyDescent="0.35">
      <c r="B20" s="2049" t="str">
        <f>+CONCATENATE("IBAN di riferimento - ",Anagrafica!C50,Anagrafica!D50,Anagrafica!E50,Anagrafica!F50,Anagrafica!G50,Anagrafica!H50)</f>
        <v>IBAN di riferimento - IT</v>
      </c>
      <c r="C20" s="2050"/>
      <c r="D20" s="2050"/>
      <c r="E20" s="2050"/>
      <c r="F20" s="2050"/>
      <c r="G20" s="2050"/>
      <c r="H20" s="2050"/>
      <c r="I20" s="2050"/>
      <c r="J20" s="2051"/>
    </row>
    <row r="21" spans="2:11" x14ac:dyDescent="0.35">
      <c r="B21" s="2029" t="s">
        <v>2138</v>
      </c>
      <c r="C21" s="2030"/>
      <c r="D21" s="2030"/>
      <c r="E21" s="2030"/>
      <c r="F21" s="2030"/>
      <c r="G21" s="2030"/>
      <c r="H21" s="2030"/>
      <c r="I21" s="2030"/>
      <c r="J21" s="2031"/>
    </row>
    <row r="22" spans="2:11" x14ac:dyDescent="0.35">
      <c r="B22" s="2029"/>
      <c r="C22" s="2030"/>
      <c r="D22" s="2030"/>
      <c r="E22" s="2030"/>
      <c r="F22" s="2030"/>
      <c r="G22" s="2030"/>
      <c r="H22" s="2030"/>
      <c r="I22" s="2030"/>
      <c r="J22" s="2031"/>
    </row>
    <row r="23" spans="2:11" ht="15" thickBot="1" x14ac:dyDescent="0.4">
      <c r="B23" s="2032"/>
      <c r="C23" s="2033"/>
      <c r="D23" s="2033"/>
      <c r="E23" s="2033"/>
      <c r="F23" s="2033"/>
      <c r="G23" s="2033"/>
      <c r="H23" s="2033"/>
      <c r="I23" s="2033"/>
      <c r="J23" s="2034"/>
    </row>
    <row r="24" spans="2:11" ht="15" thickBot="1" x14ac:dyDescent="0.4"/>
    <row r="25" spans="2:11" ht="15" thickBot="1" x14ac:dyDescent="0.4">
      <c r="B25" s="1988" t="s">
        <v>2139</v>
      </c>
      <c r="C25" s="1989"/>
      <c r="D25" s="1989"/>
      <c r="E25" s="1989"/>
      <c r="F25" s="1989"/>
      <c r="G25" s="1989"/>
      <c r="H25" s="1989"/>
      <c r="I25" s="1989"/>
      <c r="J25" s="1990"/>
    </row>
    <row r="26" spans="2:11" ht="15" thickBot="1" x14ac:dyDescent="0.4"/>
    <row r="27" spans="2:11" ht="15" thickBot="1" x14ac:dyDescent="0.4">
      <c r="B27" s="1148" t="s">
        <v>564</v>
      </c>
      <c r="C27" s="1149" t="s">
        <v>2140</v>
      </c>
      <c r="D27" s="1149" t="s">
        <v>2141</v>
      </c>
      <c r="E27" s="1149" t="s">
        <v>2142</v>
      </c>
      <c r="F27" s="1149" t="s">
        <v>2143</v>
      </c>
      <c r="G27" s="1149" t="s">
        <v>2144</v>
      </c>
      <c r="H27" s="1150" t="s">
        <v>2145</v>
      </c>
      <c r="I27" s="1151" t="s">
        <v>2146</v>
      </c>
    </row>
    <row r="28" spans="2:11" ht="18.75" customHeight="1" thickBot="1" x14ac:dyDescent="0.4">
      <c r="B28" s="899" t="s">
        <v>2147</v>
      </c>
      <c r="C28" s="900"/>
      <c r="D28" s="1163">
        <v>20</v>
      </c>
      <c r="E28" s="900"/>
      <c r="F28" s="900"/>
      <c r="G28" s="900" t="s">
        <v>2148</v>
      </c>
      <c r="H28" s="1141"/>
      <c r="I28" s="901"/>
    </row>
    <row r="29" spans="2:11" ht="15" thickBot="1" x14ac:dyDescent="0.4"/>
    <row r="30" spans="2:11" ht="15" thickBot="1" x14ac:dyDescent="0.4">
      <c r="B30" s="2003" t="s">
        <v>2149</v>
      </c>
      <c r="C30" s="2004"/>
      <c r="D30" s="2004"/>
      <c r="E30" s="2004"/>
      <c r="F30" s="2004"/>
      <c r="G30" s="2004"/>
      <c r="H30" s="2004"/>
      <c r="I30" s="2005"/>
    </row>
    <row r="31" spans="2:11" ht="15" thickBot="1" x14ac:dyDescent="0.4">
      <c r="B31" s="1985" t="s">
        <v>2150</v>
      </c>
      <c r="C31" s="1986"/>
      <c r="D31" s="1986"/>
      <c r="E31" s="1986"/>
      <c r="F31" s="1123" t="s">
        <v>2151</v>
      </c>
      <c r="G31" s="2000" t="s">
        <v>574</v>
      </c>
      <c r="H31" s="2001"/>
      <c r="I31" s="2002"/>
    </row>
    <row r="32" spans="2:11" x14ac:dyDescent="0.35">
      <c r="B32" s="2006" t="str">
        <f>+IF(Anagrafica!$H$6="Società di capitali","ANT 1 - Dichiarazione Antimafia Società","ANT 2- Dichiarazione Antimafia Cooperative")</f>
        <v>ANT 2- Dichiarazione Antimafia Cooperative</v>
      </c>
      <c r="C32" s="2007"/>
      <c r="D32" s="2007"/>
      <c r="E32" s="2008"/>
      <c r="F32" s="1127"/>
      <c r="G32" s="2009"/>
      <c r="H32" s="2010"/>
      <c r="I32" s="2011"/>
    </row>
    <row r="33" spans="2:9" ht="15" thickBot="1" x14ac:dyDescent="0.4">
      <c r="B33" s="1991" t="s">
        <v>2152</v>
      </c>
      <c r="C33" s="1992"/>
      <c r="D33" s="1992"/>
      <c r="E33" s="1993"/>
      <c r="F33" s="1128"/>
      <c r="G33" s="1994"/>
      <c r="H33" s="1995"/>
      <c r="I33" s="1996"/>
    </row>
    <row r="34" spans="2:9" ht="15" thickBot="1" x14ac:dyDescent="0.4">
      <c r="B34" s="1997" t="s">
        <v>2153</v>
      </c>
      <c r="C34" s="1998"/>
      <c r="D34" s="1998"/>
      <c r="E34" s="1998"/>
      <c r="F34" s="1998"/>
      <c r="G34" s="1998"/>
      <c r="H34" s="1998"/>
      <c r="I34" s="1999"/>
    </row>
    <row r="35" spans="2:9" ht="15" thickBot="1" x14ac:dyDescent="0.4">
      <c r="B35" s="1985" t="s">
        <v>2154</v>
      </c>
      <c r="C35" s="1986"/>
      <c r="D35" s="1986"/>
      <c r="E35" s="1987"/>
      <c r="F35" s="1124" t="s">
        <v>2151</v>
      </c>
      <c r="G35" s="2000" t="s">
        <v>574</v>
      </c>
      <c r="H35" s="2001"/>
      <c r="I35" s="2002"/>
    </row>
    <row r="36" spans="2:9" ht="15" thickBot="1" x14ac:dyDescent="0.4">
      <c r="B36" s="1979" t="s">
        <v>2155</v>
      </c>
      <c r="C36" s="1980"/>
      <c r="D36" s="1980"/>
      <c r="E36" s="1981"/>
      <c r="F36" s="1142"/>
      <c r="G36" s="1982"/>
      <c r="H36" s="1983"/>
      <c r="I36" s="1984"/>
    </row>
    <row r="37" spans="2:9" ht="15" thickBot="1" x14ac:dyDescent="0.4">
      <c r="B37" s="1129" t="s">
        <v>2156</v>
      </c>
      <c r="C37" s="1130"/>
      <c r="D37" s="1130"/>
      <c r="E37" s="1130"/>
      <c r="F37" s="1130"/>
      <c r="G37" s="1130"/>
      <c r="H37" s="1130"/>
      <c r="I37" s="1131"/>
    </row>
    <row r="38" spans="2:9" ht="15" thickBot="1" x14ac:dyDescent="0.4">
      <c r="B38" s="1985" t="s">
        <v>2157</v>
      </c>
      <c r="C38" s="1986"/>
      <c r="D38" s="1986"/>
      <c r="E38" s="1987"/>
      <c r="F38" s="1124" t="s">
        <v>2151</v>
      </c>
      <c r="G38" s="2000" t="s">
        <v>574</v>
      </c>
      <c r="H38" s="2001"/>
      <c r="I38" s="2002"/>
    </row>
    <row r="39" spans="2:9" x14ac:dyDescent="0.35">
      <c r="B39" s="2012" t="s">
        <v>2158</v>
      </c>
      <c r="C39" s="2013"/>
      <c r="D39" s="2013"/>
      <c r="E39" s="2014"/>
      <c r="F39" s="1125"/>
      <c r="G39" s="2015"/>
      <c r="H39" s="2016"/>
      <c r="I39" s="2017"/>
    </row>
    <row r="40" spans="2:9" ht="15" thickBot="1" x14ac:dyDescent="0.4">
      <c r="B40" s="2018" t="s">
        <v>2159</v>
      </c>
      <c r="C40" s="2019"/>
      <c r="D40" s="2019"/>
      <c r="E40" s="2020"/>
      <c r="F40" s="1132"/>
      <c r="G40" s="1994"/>
      <c r="H40" s="1995"/>
      <c r="I40" s="1996"/>
    </row>
    <row r="41" spans="2:9" ht="15" thickBot="1" x14ac:dyDescent="0.4">
      <c r="B41" s="2003" t="s">
        <v>2160</v>
      </c>
      <c r="C41" s="2004"/>
      <c r="D41" s="2004"/>
      <c r="E41" s="2004"/>
      <c r="F41" s="2004"/>
      <c r="G41" s="2004"/>
      <c r="H41" s="2004"/>
      <c r="I41" s="2005"/>
    </row>
    <row r="42" spans="2:9" ht="15" thickBot="1" x14ac:dyDescent="0.4">
      <c r="B42" s="1985" t="s">
        <v>2161</v>
      </c>
      <c r="C42" s="1986"/>
      <c r="D42" s="1986"/>
      <c r="E42" s="1987"/>
      <c r="F42" s="1124" t="s">
        <v>2151</v>
      </c>
      <c r="G42" s="2000" t="s">
        <v>574</v>
      </c>
      <c r="H42" s="2001"/>
      <c r="I42" s="2002"/>
    </row>
    <row r="43" spans="2:9" ht="15" thickBot="1" x14ac:dyDescent="0.4">
      <c r="B43" s="2056" t="s">
        <v>2162</v>
      </c>
      <c r="C43" s="2057"/>
      <c r="D43" s="2057"/>
      <c r="E43" s="2058"/>
      <c r="F43" s="1143"/>
      <c r="G43" s="1144"/>
      <c r="H43" s="1145"/>
      <c r="I43" s="1146"/>
    </row>
    <row r="45" spans="2:9" ht="15" thickBot="1" x14ac:dyDescent="0.4"/>
    <row r="46" spans="2:9" ht="15" thickBot="1" x14ac:dyDescent="0.4">
      <c r="B46" s="2059" t="s">
        <v>2163</v>
      </c>
      <c r="C46" s="2060"/>
      <c r="D46" s="2060"/>
      <c r="E46" s="2061"/>
      <c r="F46" s="1152"/>
    </row>
    <row r="47" spans="2:9" ht="15" thickBot="1" x14ac:dyDescent="0.4">
      <c r="B47" s="2062" t="s">
        <v>2164</v>
      </c>
      <c r="C47" s="2062"/>
      <c r="D47" s="2062"/>
      <c r="E47" s="2062"/>
      <c r="F47" s="1147">
        <f>+IF(C18&lt;=Anticipo!D28,C18,Anticipo!D28)</f>
        <v>0</v>
      </c>
    </row>
    <row r="49" spans="8:10" ht="15" thickBot="1" x14ac:dyDescent="0.4"/>
    <row r="50" spans="8:10" ht="15" thickBot="1" x14ac:dyDescent="0.4">
      <c r="H50" s="2052" t="s">
        <v>2165</v>
      </c>
      <c r="I50" s="2053"/>
      <c r="J50" s="1276"/>
    </row>
    <row r="51" spans="8:10" ht="15" thickBot="1" x14ac:dyDescent="0.4">
      <c r="H51" s="2052" t="s">
        <v>2166</v>
      </c>
      <c r="I51" s="2053"/>
      <c r="J51" s="1276"/>
    </row>
    <row r="52" spans="8:10" ht="15" thickBot="1" x14ac:dyDescent="0.4">
      <c r="H52" s="2054" t="s">
        <v>2167</v>
      </c>
      <c r="I52" s="2055"/>
      <c r="J52" s="1276"/>
    </row>
  </sheetData>
  <mergeCells count="42">
    <mergeCell ref="H50:I50"/>
    <mergeCell ref="H51:I51"/>
    <mergeCell ref="H52:I52"/>
    <mergeCell ref="B43:E43"/>
    <mergeCell ref="B46:E46"/>
    <mergeCell ref="B47:E47"/>
    <mergeCell ref="B2:J2"/>
    <mergeCell ref="B6:G6"/>
    <mergeCell ref="H6:J6"/>
    <mergeCell ref="B8:J8"/>
    <mergeCell ref="B21:J23"/>
    <mergeCell ref="C4:F4"/>
    <mergeCell ref="B10:B11"/>
    <mergeCell ref="C10:J11"/>
    <mergeCell ref="C13:D13"/>
    <mergeCell ref="G13:J13"/>
    <mergeCell ref="C15:J15"/>
    <mergeCell ref="B17:J17"/>
    <mergeCell ref="B19:J19"/>
    <mergeCell ref="B20:J20"/>
    <mergeCell ref="B41:I41"/>
    <mergeCell ref="B42:E42"/>
    <mergeCell ref="G42:I42"/>
    <mergeCell ref="G38:I38"/>
    <mergeCell ref="B39:E39"/>
    <mergeCell ref="G39:I39"/>
    <mergeCell ref="B40:E40"/>
    <mergeCell ref="G40:I40"/>
    <mergeCell ref="B36:E36"/>
    <mergeCell ref="G36:I36"/>
    <mergeCell ref="B38:E38"/>
    <mergeCell ref="B25:J25"/>
    <mergeCell ref="B33:E33"/>
    <mergeCell ref="G33:I33"/>
    <mergeCell ref="B34:I34"/>
    <mergeCell ref="B35:E35"/>
    <mergeCell ref="G35:I35"/>
    <mergeCell ref="B30:I30"/>
    <mergeCell ref="B31:E31"/>
    <mergeCell ref="G31:I31"/>
    <mergeCell ref="B32:E32"/>
    <mergeCell ref="G32:I32"/>
  </mergeCells>
  <dataValidations count="7">
    <dataValidation type="decimal" operator="lessThanOrEqual" allowBlank="1" showInputMessage="1" showErrorMessage="1" errorTitle="Superamento limete anticipo" error="Attenzione è stato superato il limite del 40% fissato dalla normativa" sqref="C18" xr:uid="{4CF5AA52-4D48-415F-9BB4-6531F41561F0}">
      <formula1>J18*0.4</formula1>
    </dataValidation>
    <dataValidation type="whole" errorStyle="warning" operator="lessThan" allowBlank="1" showInputMessage="1" showErrorMessage="1" errorTitle="prov" error="prova" sqref="O16" xr:uid="{E10287E0-FA6D-43C0-98ED-9C8C0B6E87E0}">
      <formula1>40</formula1>
    </dataValidation>
    <dataValidation errorStyle="warning" operator="lessThanOrEqual" allowBlank="1" showInputMessage="1" showErrorMessage="1" errorTitle="Superamento Livello anticipo" error="Il valore richiesto è superiore al 40% previsto dalla normativa" sqref="E18" xr:uid="{43FE13BD-35A2-49CE-85A4-8066FEDE8082}"/>
    <dataValidation type="list" allowBlank="1" showInputMessage="1" showErrorMessage="1" sqref="F33 F36" xr:uid="{D2069896-A924-457E-A0F5-5992AC9A6896}">
      <formula1>"Si,No"</formula1>
    </dataValidation>
    <dataValidation type="list" allowBlank="1" showInputMessage="1" showErrorMessage="1" sqref="F32" xr:uid="{65A8FF92-F0D6-40DD-A4D5-ADBE547F9D28}">
      <formula1>"Si,No,"</formula1>
    </dataValidation>
    <dataValidation type="list" allowBlank="1" showInputMessage="1" showErrorMessage="1" sqref="F39:F40 F43" xr:uid="{59F3D712-EDB3-4DF2-9307-DB754FB0A305}">
      <formula1>"Si,No,Non neces."</formula1>
    </dataValidation>
    <dataValidation type="list" allowBlank="1" showInputMessage="1" showErrorMessage="1" sqref="G28" xr:uid="{50F00433-F0BD-4117-B90F-5EE08B1D20CC}">
      <formula1>"Digitale,Cartacea"</formula1>
    </dataValidation>
  </dataValidations>
  <pageMargins left="0.7" right="0.7" top="0.75" bottom="0.75" header="0.3" footer="0.3"/>
  <pageSetup orientation="portrait" r:id="rId1"/>
  <legacyDrawing r:id="rId2"/>
  <extLst>
    <ext xmlns:x14="http://schemas.microsoft.com/office/spreadsheetml/2009/9/main" uri="{78C0D931-6437-407d-A8EE-F0AAD7539E65}">
      <x14:conditionalFormattings>
        <x14:conditionalFormatting xmlns:xm="http://schemas.microsoft.com/office/excel/2006/main">
          <x14:cfRule type="expression" priority="2" id="{12E8D5D1-8372-4609-BD1F-A66155ECE3F6}">
            <xm:f>IF(Anagrafica!$C$38&lt;=150000,1,0)</xm:f>
            <x14:dxf>
              <font>
                <color theme="0"/>
              </font>
              <fill>
                <patternFill>
                  <bgColor theme="0"/>
                </patternFill>
              </fill>
              <border>
                <left/>
                <right/>
                <top/>
                <bottom/>
              </border>
            </x14:dxf>
          </x14:cfRule>
          <xm:sqref>B30:I33</xm:sqref>
        </x14:conditionalFormatting>
      </x14:conditionalFormattings>
    </ext>
  </extLs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F80A8-1378-4DEE-BCDB-473F1BF52F9B}">
  <sheetPr codeName="Foglio22"/>
  <dimension ref="A1:L47"/>
  <sheetViews>
    <sheetView topLeftCell="A16" zoomScaleNormal="100" workbookViewId="0">
      <selection activeCell="B16" sqref="B16"/>
    </sheetView>
  </sheetViews>
  <sheetFormatPr defaultRowHeight="14.5" x14ac:dyDescent="0.35"/>
  <cols>
    <col min="1" max="1" width="9.1796875" style="902"/>
    <col min="2" max="2" width="20.7265625" style="902" customWidth="1"/>
    <col min="3" max="3" width="8" style="902" customWidth="1"/>
    <col min="4" max="5" width="10.453125" style="902" bestFit="1" customWidth="1"/>
    <col min="6" max="6" width="9.1796875" style="902"/>
    <col min="7" max="7" width="12" style="902" customWidth="1"/>
    <col min="8" max="8" width="17.453125" style="902" customWidth="1"/>
    <col min="12" max="12" width="13.26953125" bestFit="1" customWidth="1"/>
  </cols>
  <sheetData>
    <row r="1" spans="2:12" ht="15" thickBot="1" x14ac:dyDescent="0.4">
      <c r="B1" s="929" t="s">
        <v>2168</v>
      </c>
      <c r="C1" s="929"/>
      <c r="D1" s="929"/>
      <c r="E1" s="929"/>
      <c r="F1" s="929"/>
      <c r="G1" s="929"/>
      <c r="H1" s="929"/>
    </row>
    <row r="2" spans="2:12" ht="15" thickBot="1" x14ac:dyDescent="0.4">
      <c r="B2" s="2065" t="s">
        <v>2169</v>
      </c>
      <c r="C2" s="2066"/>
      <c r="D2" s="2067"/>
      <c r="E2" s="930" t="s">
        <v>2170</v>
      </c>
      <c r="F2" s="929"/>
      <c r="G2" s="929"/>
      <c r="H2" s="929"/>
    </row>
    <row r="3" spans="2:12" x14ac:dyDescent="0.35">
      <c r="B3" s="929"/>
      <c r="C3" s="929"/>
      <c r="D3" s="929"/>
      <c r="E3" s="929"/>
      <c r="F3" s="929"/>
      <c r="G3" s="929"/>
      <c r="H3" s="929"/>
    </row>
    <row r="4" spans="2:12" ht="15.5" x14ac:dyDescent="0.35">
      <c r="B4" s="903" t="str">
        <f>+CONCATENATE("Mandato di Erogazione Anticipo PROT. ",C7)</f>
        <v>Mandato di Erogazione Anticipo PROT. 0</v>
      </c>
      <c r="E4" s="931"/>
    </row>
    <row r="5" spans="2:12" x14ac:dyDescent="0.35">
      <c r="B5" s="902" t="s">
        <v>2171</v>
      </c>
    </row>
    <row r="6" spans="2:12" ht="15" thickBot="1" x14ac:dyDescent="0.4"/>
    <row r="7" spans="2:12" x14ac:dyDescent="0.35">
      <c r="B7" s="904" t="s">
        <v>2172</v>
      </c>
      <c r="C7" s="2068">
        <f>+Anagrafica!C2</f>
        <v>0</v>
      </c>
      <c r="D7" s="2068"/>
      <c r="E7" s="2068"/>
      <c r="F7" s="2068"/>
      <c r="G7" s="2068"/>
      <c r="H7" s="2069"/>
    </row>
    <row r="8" spans="2:12" x14ac:dyDescent="0.35">
      <c r="B8" s="905" t="s">
        <v>2173</v>
      </c>
      <c r="C8" s="2070">
        <f>+Anagrafica!C17</f>
        <v>0</v>
      </c>
      <c r="D8" s="2070"/>
      <c r="E8" s="2070"/>
      <c r="F8" s="2070"/>
      <c r="G8" s="2070"/>
      <c r="H8" s="2071"/>
    </row>
    <row r="9" spans="2:12" x14ac:dyDescent="0.35">
      <c r="B9" s="905" t="s">
        <v>2174</v>
      </c>
      <c r="C9" s="2070">
        <f>+Anagrafica!C18</f>
        <v>0</v>
      </c>
      <c r="D9" s="2070"/>
      <c r="E9" s="2070"/>
      <c r="F9" s="2070"/>
      <c r="G9" s="2070"/>
      <c r="H9" s="2071"/>
    </row>
    <row r="10" spans="2:12" x14ac:dyDescent="0.35">
      <c r="B10" s="905" t="s">
        <v>2175</v>
      </c>
      <c r="C10" s="2070">
        <f>+Anagrafica!C9</f>
        <v>0</v>
      </c>
      <c r="D10" s="2070"/>
      <c r="E10" s="2070"/>
      <c r="F10" s="2070"/>
      <c r="G10" s="2070"/>
      <c r="H10" s="2071"/>
    </row>
    <row r="11" spans="2:12" ht="15" thickBot="1" x14ac:dyDescent="0.4">
      <c r="B11" s="906" t="s">
        <v>2176</v>
      </c>
      <c r="C11" s="2063" t="str">
        <f>+Anagrafica!C24</f>
        <v>NIT2 - Fondo Unico - NIT 2.0</v>
      </c>
      <c r="D11" s="2063"/>
      <c r="E11" s="2063"/>
      <c r="F11" s="2063"/>
      <c r="G11" s="2063"/>
      <c r="H11" s="2064"/>
    </row>
    <row r="13" spans="2:12" x14ac:dyDescent="0.35">
      <c r="B13" s="2074" t="s">
        <v>2177</v>
      </c>
      <c r="C13" s="2074"/>
      <c r="D13" s="2074"/>
      <c r="E13" s="2074"/>
      <c r="F13" s="2074"/>
      <c r="G13" s="2074"/>
      <c r="H13" s="2074"/>
    </row>
    <row r="14" spans="2:12" ht="15" thickBot="1" x14ac:dyDescent="0.4">
      <c r="B14" s="2075"/>
      <c r="C14" s="2075"/>
      <c r="D14" s="2075"/>
      <c r="E14" s="2075"/>
      <c r="F14" s="2075"/>
      <c r="G14" s="2075"/>
      <c r="H14" s="2075"/>
    </row>
    <row r="15" spans="2:12" x14ac:dyDescent="0.35">
      <c r="B15" s="904" t="s">
        <v>2178</v>
      </c>
      <c r="C15" s="2076">
        <f>+Anticipo!F47</f>
        <v>0</v>
      </c>
      <c r="D15" s="2076"/>
      <c r="E15" s="2076"/>
      <c r="F15" s="2076"/>
      <c r="G15" s="2076"/>
      <c r="H15" s="2077"/>
      <c r="L15" s="813"/>
    </row>
    <row r="16" spans="2:12" ht="15" thickBot="1" x14ac:dyDescent="0.4">
      <c r="B16" s="2078" t="str" cm="1">
        <f t="array" ref="B16">+NumToLet(C15)</f>
        <v>ZERO/00</v>
      </c>
      <c r="C16" s="2079"/>
      <c r="D16" s="2079"/>
      <c r="E16" s="2079"/>
      <c r="F16" s="2079"/>
      <c r="G16" s="2079"/>
      <c r="H16" s="2080"/>
    </row>
    <row r="18" spans="1:8" ht="15" thickBot="1" x14ac:dyDescent="0.4">
      <c r="B18" s="907" t="s">
        <v>2179</v>
      </c>
    </row>
    <row r="19" spans="1:8" x14ac:dyDescent="0.35">
      <c r="B19" s="908" t="s">
        <v>1875</v>
      </c>
      <c r="C19" s="2081">
        <f>+Anagrafica!C6</f>
        <v>0</v>
      </c>
      <c r="D19" s="2081"/>
      <c r="E19" s="2081"/>
      <c r="F19" s="2081"/>
      <c r="G19" s="2081"/>
      <c r="H19" s="2082"/>
    </row>
    <row r="20" spans="1:8" x14ac:dyDescent="0.35">
      <c r="B20" s="909" t="s">
        <v>2180</v>
      </c>
      <c r="C20" s="2083">
        <f>+Anagrafica!C7</f>
        <v>0</v>
      </c>
      <c r="D20" s="2083"/>
      <c r="E20" s="2083"/>
      <c r="F20" s="2083"/>
      <c r="G20" s="2083"/>
      <c r="H20" s="2084"/>
    </row>
    <row r="21" spans="1:8" x14ac:dyDescent="0.35">
      <c r="B21" s="909" t="s">
        <v>628</v>
      </c>
      <c r="C21" s="2083" t="str">
        <f>+Anagrafica!C8</f>
        <v>ROMA</v>
      </c>
      <c r="D21" s="2083"/>
      <c r="E21" s="2083"/>
      <c r="F21" s="2083"/>
      <c r="G21" s="2083"/>
      <c r="H21" s="2084"/>
    </row>
    <row r="22" spans="1:8" x14ac:dyDescent="0.35">
      <c r="B22" s="909" t="s">
        <v>2181</v>
      </c>
      <c r="C22" s="2083">
        <f>+Anagrafica!H7</f>
        <v>0</v>
      </c>
      <c r="D22" s="2083"/>
      <c r="E22" s="2083"/>
      <c r="F22" s="2083"/>
      <c r="G22" s="2083"/>
      <c r="H22" s="2084"/>
    </row>
    <row r="23" spans="1:8" x14ac:dyDescent="0.35">
      <c r="B23" s="909" t="s">
        <v>630</v>
      </c>
      <c r="C23" s="2083" t="str">
        <f>+Anagrafica!H8</f>
        <v>RM</v>
      </c>
      <c r="D23" s="2083"/>
      <c r="E23" s="2083"/>
      <c r="F23" s="2083"/>
      <c r="G23" s="2083"/>
      <c r="H23" s="2084"/>
    </row>
    <row r="24" spans="1:8" x14ac:dyDescent="0.35">
      <c r="B24" s="909" t="s">
        <v>2182</v>
      </c>
      <c r="C24" s="2083">
        <f>+Anagrafica!C11</f>
        <v>0</v>
      </c>
      <c r="D24" s="2083"/>
      <c r="E24" s="2083"/>
      <c r="F24" s="2083"/>
      <c r="G24" s="2083"/>
      <c r="H24" s="2084"/>
    </row>
    <row r="25" spans="1:8" ht="15" thickBot="1" x14ac:dyDescent="0.4">
      <c r="B25" s="910" t="s">
        <v>2183</v>
      </c>
      <c r="C25" s="2085">
        <f>+Anagrafica!C10</f>
        <v>0</v>
      </c>
      <c r="D25" s="2085"/>
      <c r="E25" s="2085"/>
      <c r="F25" s="2085"/>
      <c r="G25" s="2085"/>
      <c r="H25" s="2086"/>
    </row>
    <row r="26" spans="1:8" x14ac:dyDescent="0.35">
      <c r="D26" s="911"/>
    </row>
    <row r="27" spans="1:8" ht="15" thickBot="1" x14ac:dyDescent="0.4">
      <c r="B27" s="907" t="s">
        <v>2184</v>
      </c>
      <c r="D27" s="911"/>
    </row>
    <row r="28" spans="1:8" x14ac:dyDescent="0.35">
      <c r="B28" s="908" t="s">
        <v>1875</v>
      </c>
      <c r="C28" s="2087" t="str">
        <f>+Anagrafica!C46</f>
        <v>BANCA SELLA</v>
      </c>
      <c r="D28" s="2087"/>
      <c r="E28" s="2087"/>
      <c r="F28" s="2087"/>
      <c r="G28" s="2087"/>
      <c r="H28" s="2088"/>
    </row>
    <row r="29" spans="1:8" x14ac:dyDescent="0.35">
      <c r="B29" s="909" t="s">
        <v>2097</v>
      </c>
      <c r="C29" s="2072" t="str">
        <f>+Anagrafica!C47</f>
        <v>AGENZIA 30</v>
      </c>
      <c r="D29" s="2072"/>
      <c r="E29" s="2072"/>
      <c r="F29" s="2072"/>
      <c r="G29" s="2072"/>
      <c r="H29" s="2073"/>
    </row>
    <row r="30" spans="1:8" ht="15" thickBot="1" x14ac:dyDescent="0.4">
      <c r="B30" s="912" t="s">
        <v>630</v>
      </c>
      <c r="C30" s="2089" t="str">
        <f>+Anagrafica!C48</f>
        <v>XXXXXXXXXXXXXX</v>
      </c>
      <c r="D30" s="2089"/>
      <c r="E30" s="2089"/>
      <c r="F30" s="2089"/>
      <c r="G30" s="2089"/>
      <c r="H30" s="2090"/>
    </row>
    <row r="31" spans="1:8" ht="15" thickBot="1" x14ac:dyDescent="0.4"/>
    <row r="32" spans="1:8" ht="15" thickBot="1" x14ac:dyDescent="0.4">
      <c r="A32" s="913"/>
      <c r="B32" s="913"/>
      <c r="C32" s="913"/>
      <c r="D32" s="914" t="s">
        <v>2088</v>
      </c>
      <c r="E32" s="915" t="s">
        <v>2089</v>
      </c>
      <c r="F32" s="915" t="s">
        <v>2090</v>
      </c>
      <c r="G32" s="915" t="s">
        <v>2091</v>
      </c>
      <c r="H32" s="916" t="s">
        <v>2092</v>
      </c>
    </row>
    <row r="33" spans="1:8" ht="15" thickBot="1" x14ac:dyDescent="0.4">
      <c r="A33" s="913"/>
      <c r="B33" s="914" t="s">
        <v>2093</v>
      </c>
      <c r="C33" s="917" t="s">
        <v>2094</v>
      </c>
      <c r="D33" s="918">
        <f>+Anagrafica!D50</f>
        <v>0</v>
      </c>
      <c r="E33" s="918">
        <f>+Anagrafica!E50</f>
        <v>0</v>
      </c>
      <c r="F33" s="918">
        <f>+Anagrafica!F50</f>
        <v>0</v>
      </c>
      <c r="G33" s="918">
        <f>+Anagrafica!G50</f>
        <v>0</v>
      </c>
      <c r="H33" s="919">
        <f>+Anagrafica!H50</f>
        <v>0</v>
      </c>
    </row>
    <row r="35" spans="1:8" ht="15" thickBot="1" x14ac:dyDescent="0.4">
      <c r="B35" s="612" t="str">
        <f>+CONCATENATE(TEXT($C$18,"€ #.##0,00")," ", "da addebitare sul conto corrente della Fonte Finanziaria:")</f>
        <v>€ 0,00 da addebitare sul conto corrente della Fonte Finanziaria:</v>
      </c>
    </row>
    <row r="36" spans="1:8" x14ac:dyDescent="0.35">
      <c r="B36" s="920" t="s">
        <v>2096</v>
      </c>
      <c r="C36" s="2091" t="str">
        <f>+IF($C$15=0,"",VLOOKUP($C$11,'Fonti e cc'!$A$2:$I$5,2))</f>
        <v/>
      </c>
      <c r="D36" s="2091"/>
      <c r="E36" s="2092"/>
    </row>
    <row r="37" spans="1:8" ht="15" thickBot="1" x14ac:dyDescent="0.4">
      <c r="B37" s="921" t="s">
        <v>2097</v>
      </c>
      <c r="C37" s="922" t="str">
        <f>+IF($C$15=0,"",VLOOKUP($C$11,'Fonti e cc'!$A$2:$I$5,3))</f>
        <v/>
      </c>
      <c r="D37" s="923" t="s">
        <v>2185</v>
      </c>
      <c r="E37" s="924" t="str">
        <f>+IF($C$15=0,"","RM")</f>
        <v/>
      </c>
    </row>
    <row r="38" spans="1:8" ht="15" thickBot="1" x14ac:dyDescent="0.4"/>
    <row r="39" spans="1:8" ht="15" thickBot="1" x14ac:dyDescent="0.4">
      <c r="B39" s="913"/>
      <c r="C39" s="913"/>
      <c r="D39" s="914" t="s">
        <v>2088</v>
      </c>
      <c r="E39" s="915" t="s">
        <v>2089</v>
      </c>
      <c r="F39" s="915" t="s">
        <v>2090</v>
      </c>
      <c r="G39" s="915" t="s">
        <v>2091</v>
      </c>
      <c r="H39" s="916" t="s">
        <v>2092</v>
      </c>
    </row>
    <row r="40" spans="1:8" ht="15" thickBot="1" x14ac:dyDescent="0.4">
      <c r="B40" s="914" t="s">
        <v>2093</v>
      </c>
      <c r="C40" s="917" t="s">
        <v>2094</v>
      </c>
      <c r="D40" s="918" t="str">
        <f>+IF($C$15=0,"",VLOOKUP($C$11,'Fonti e cc'!$A$2:$I$5,5))</f>
        <v/>
      </c>
      <c r="E40" s="918" t="str">
        <f>+IF($C$15=0,"",VLOOKUP($C$11,'Fonti e cc'!$A$2:$I$5,6))</f>
        <v/>
      </c>
      <c r="F40" s="918" t="str">
        <f>+IF($C$15=0,"",VLOOKUP($C$11,'Fonti e cc'!$A$2:$I$5,7))</f>
        <v/>
      </c>
      <c r="G40" s="918" t="str">
        <f>+IF($C$15=0,"",VLOOKUP($C$11,'Fonti e cc'!$A$2:$I$5,8))</f>
        <v/>
      </c>
      <c r="H40" s="919" t="str">
        <f>+IF($C$15=0,"",VLOOKUP($C$11,'Fonti e cc'!$A$2:$I$5,9))</f>
        <v/>
      </c>
    </row>
    <row r="41" spans="1:8" ht="15" thickBot="1" x14ac:dyDescent="0.4"/>
    <row r="42" spans="1:8" ht="15" thickBot="1" x14ac:dyDescent="0.4">
      <c r="B42" s="2093" t="s">
        <v>2169</v>
      </c>
      <c r="C42" s="2094"/>
      <c r="D42" s="2094"/>
      <c r="E42" s="2094"/>
      <c r="F42" s="925" t="str">
        <f>+E2</f>
        <v>No</v>
      </c>
    </row>
    <row r="44" spans="1:8" x14ac:dyDescent="0.35">
      <c r="F44" s="2095" t="s">
        <v>2186</v>
      </c>
      <c r="G44" s="2095"/>
      <c r="H44" s="2095"/>
    </row>
    <row r="46" spans="1:8" x14ac:dyDescent="0.35">
      <c r="F46" s="2095" t="s">
        <v>2187</v>
      </c>
      <c r="G46" s="2095"/>
      <c r="H46" s="2095"/>
    </row>
    <row r="47" spans="1:8" x14ac:dyDescent="0.35">
      <c r="G47" s="902" t="s">
        <v>2186</v>
      </c>
    </row>
  </sheetData>
  <mergeCells count="23">
    <mergeCell ref="C30:H30"/>
    <mergeCell ref="C36:E36"/>
    <mergeCell ref="B42:E42"/>
    <mergeCell ref="F44:H44"/>
    <mergeCell ref="F46:H46"/>
    <mergeCell ref="C29:H29"/>
    <mergeCell ref="B13:H14"/>
    <mergeCell ref="C15:H15"/>
    <mergeCell ref="B16:H16"/>
    <mergeCell ref="C19:H19"/>
    <mergeCell ref="C20:H20"/>
    <mergeCell ref="C21:H21"/>
    <mergeCell ref="C22:H22"/>
    <mergeCell ref="C23:H23"/>
    <mergeCell ref="C24:H24"/>
    <mergeCell ref="C25:H25"/>
    <mergeCell ref="C28:H28"/>
    <mergeCell ref="C11:H11"/>
    <mergeCell ref="B2:D2"/>
    <mergeCell ref="C7:H7"/>
    <mergeCell ref="C8:H8"/>
    <mergeCell ref="C9:H9"/>
    <mergeCell ref="C10:H10"/>
  </mergeCells>
  <dataValidations count="8">
    <dataValidation type="textLength" errorStyle="information" operator="equal" allowBlank="1" showInputMessage="1" showErrorMessage="1" errorTitle="Numero dati sbagliato" error="Devono essere 5 cifre" sqref="C22:H22" xr:uid="{68054DA8-8014-4281-B139-E18694F44090}">
      <formula1>5</formula1>
    </dataValidation>
    <dataValidation type="textLength" errorStyle="information" operator="equal" allowBlank="1" showInputMessage="1" showErrorMessage="1" errorTitle="Numero dati sbagliato" error="Devono essere 11 cifre" sqref="C24:H25" xr:uid="{00470B64-8D9D-4377-AC4E-3488AAAC5780}">
      <formula1>11</formula1>
    </dataValidation>
    <dataValidation type="textLength" errorStyle="information" operator="equal" allowBlank="1" showInputMessage="1" showErrorMessage="1" errorTitle="Numero dati Sbagliati" error="Devono essere 12 cifre_x000a_" sqref="H33 H40" xr:uid="{8E939B91-28AB-40C9-A471-345B84D27F71}">
      <formula1>12</formula1>
    </dataValidation>
    <dataValidation type="textLength" errorStyle="information" operator="equal" allowBlank="1" showInputMessage="1" showErrorMessage="1" errorTitle="Numero dati Sbagliati" error="Devono essere 2 cifre" sqref="D33 D40" xr:uid="{9A25643C-DAA3-40F6-A375-D7960B31307D}">
      <formula1>2</formula1>
    </dataValidation>
    <dataValidation type="textLength" errorStyle="information" operator="equal" allowBlank="1" showInputMessage="1" showErrorMessage="1" errorTitle="Numero dati Sbagliati" error="Deve essere 1 cifra" sqref="E33 E40" xr:uid="{3D81B64D-250A-4873-ADE1-A019DC4AE223}">
      <formula1>1</formula1>
    </dataValidation>
    <dataValidation type="textLength" errorStyle="information" operator="equal" allowBlank="1" showInputMessage="1" showErrorMessage="1" errorTitle="Numero dati Sbagliati" error="Devono essere 5 cifre" sqref="F33:G33 F40:G40" xr:uid="{FBFA8E59-A93D-4999-B8F4-9708042C5F6C}">
      <formula1>5</formula1>
    </dataValidation>
    <dataValidation allowBlank="1" showInputMessage="1" showErrorMessage="1" promptTitle="Dato utile" prompt="Via e civico" sqref="C20:H20" xr:uid="{13A3EFAB-55A2-4C6C-8A90-6D4245416824}"/>
    <dataValidation type="list" allowBlank="1" showInputMessage="1" showErrorMessage="1" sqref="E2" xr:uid="{72E040F4-7A32-4B2F-BC75-0D65C3C87562}">
      <formula1>"No,Si,"</formula1>
    </dataValidation>
  </dataValidations>
  <pageMargins left="0.7" right="0.7" top="0.75" bottom="0.75" header="0.3" footer="0.3"/>
  <pageSetup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6737" r:id="rId4" name="Button 1">
              <controlPr defaultSize="0" print="0" autoFill="0" autoPict="0" macro="[0]!MandatoAnticipo">
                <anchor moveWithCells="1" sizeWithCells="1">
                  <from>
                    <xdr:col>10</xdr:col>
                    <xdr:colOff>165100</xdr:colOff>
                    <xdr:row>0</xdr:row>
                    <xdr:rowOff>114300</xdr:rowOff>
                  </from>
                  <to>
                    <xdr:col>12</xdr:col>
                    <xdr:colOff>228600</xdr:colOff>
                    <xdr:row>4</xdr:row>
                    <xdr:rowOff>69850</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D878A-D15E-4341-A5DB-8090BC9BEDFE}">
  <sheetPr codeName="Foglio23"/>
  <dimension ref="A1:U167"/>
  <sheetViews>
    <sheetView topLeftCell="B4" zoomScale="90" zoomScaleNormal="90" workbookViewId="0">
      <selection activeCell="B16" sqref="B16"/>
    </sheetView>
  </sheetViews>
  <sheetFormatPr defaultRowHeight="14.5" x14ac:dyDescent="0.35"/>
  <cols>
    <col min="1" max="1" width="3.453125" customWidth="1"/>
    <col min="2" max="2" width="24.1796875" customWidth="1"/>
    <col min="3" max="3" width="17.7265625" customWidth="1"/>
    <col min="4" max="4" width="14.7265625" bestFit="1" customWidth="1"/>
    <col min="5" max="5" width="15.453125" customWidth="1"/>
    <col min="6" max="6" width="14.7265625" customWidth="1"/>
    <col min="7" max="7" width="17.453125" customWidth="1"/>
    <col min="8" max="8" width="14.453125" customWidth="1"/>
    <col min="9" max="9" width="16.1796875" customWidth="1"/>
    <col min="10" max="10" width="19.7265625" customWidth="1"/>
    <col min="11" max="11" width="40.453125" customWidth="1"/>
    <col min="12" max="12" width="11.54296875" customWidth="1"/>
    <col min="13" max="13" width="11.453125" customWidth="1"/>
    <col min="14" max="14" width="10.54296875" customWidth="1"/>
    <col min="15" max="16" width="9.7265625" bestFit="1" customWidth="1"/>
    <col min="19" max="19" width="9.7265625" bestFit="1" customWidth="1"/>
    <col min="20" max="20" width="8.54296875" customWidth="1"/>
    <col min="21" max="21" width="9.1796875" style="989"/>
  </cols>
  <sheetData>
    <row r="1" spans="1:20" ht="15" thickBot="1" x14ac:dyDescent="0.4">
      <c r="A1" s="860"/>
      <c r="B1" s="860"/>
      <c r="C1" s="860"/>
      <c r="D1" s="860"/>
      <c r="E1" s="860"/>
      <c r="F1" s="860"/>
      <c r="G1" s="860"/>
      <c r="H1" s="860"/>
      <c r="I1" s="860"/>
      <c r="J1" s="860"/>
      <c r="K1" s="860"/>
      <c r="L1" s="989"/>
      <c r="M1" s="989"/>
      <c r="N1" s="989"/>
      <c r="O1" s="989"/>
      <c r="P1" s="989"/>
      <c r="Q1" s="989"/>
      <c r="R1" s="989"/>
      <c r="S1" s="989"/>
      <c r="T1" s="989"/>
    </row>
    <row r="2" spans="1:20" ht="21" x14ac:dyDescent="0.35">
      <c r="A2" s="860" t="s">
        <v>626</v>
      </c>
      <c r="B2" s="2147" t="s">
        <v>2188</v>
      </c>
      <c r="C2" s="2148"/>
      <c r="D2" s="2148"/>
      <c r="E2" s="2148"/>
      <c r="F2" s="2148"/>
      <c r="G2" s="2148"/>
      <c r="H2" s="2148"/>
      <c r="I2" s="2148"/>
      <c r="J2" s="2148"/>
      <c r="K2" s="2149"/>
      <c r="L2" s="989"/>
      <c r="M2" s="989"/>
      <c r="N2" s="989"/>
      <c r="O2" s="989"/>
      <c r="P2" s="989"/>
      <c r="Q2" s="989"/>
      <c r="R2" s="989"/>
      <c r="S2" s="989"/>
      <c r="T2" s="989"/>
    </row>
    <row r="3" spans="1:20" x14ac:dyDescent="0.35">
      <c r="A3" s="860"/>
      <c r="B3" s="933"/>
      <c r="C3" s="934"/>
      <c r="D3" s="934"/>
      <c r="E3" s="934"/>
      <c r="F3" s="934"/>
      <c r="G3" s="934"/>
      <c r="H3" s="934"/>
      <c r="I3" s="934"/>
      <c r="J3" s="934"/>
      <c r="K3" s="935"/>
      <c r="L3" s="989"/>
      <c r="M3" s="989"/>
      <c r="N3" s="989"/>
      <c r="O3" s="989"/>
      <c r="P3" s="989"/>
      <c r="Q3" s="989"/>
      <c r="R3" s="989"/>
      <c r="S3" s="989"/>
      <c r="T3" s="989"/>
    </row>
    <row r="4" spans="1:20" x14ac:dyDescent="0.35">
      <c r="A4" s="860"/>
      <c r="B4" s="936" t="s">
        <v>2129</v>
      </c>
      <c r="C4" s="2136">
        <f>+Anagrafica!$C$6</f>
        <v>0</v>
      </c>
      <c r="D4" s="2136"/>
      <c r="E4" s="2136"/>
      <c r="F4" s="2136"/>
      <c r="G4" s="937" t="s">
        <v>2130</v>
      </c>
      <c r="H4" s="979">
        <f>+Anagrafica!$C$2</f>
        <v>0</v>
      </c>
      <c r="I4" s="979"/>
      <c r="J4" s="1004" t="s">
        <v>1</v>
      </c>
      <c r="K4" s="938" t="str">
        <f>+Anagrafica!$G$2</f>
        <v>Capo III</v>
      </c>
      <c r="L4" s="989"/>
      <c r="M4" s="989"/>
      <c r="N4" s="989"/>
      <c r="O4" s="989"/>
      <c r="P4" s="989"/>
      <c r="Q4" s="989"/>
      <c r="R4" s="989"/>
      <c r="S4" s="989"/>
      <c r="T4" s="989"/>
    </row>
    <row r="5" spans="1:20" x14ac:dyDescent="0.35">
      <c r="A5" s="860"/>
      <c r="B5" s="939"/>
      <c r="C5" s="860"/>
      <c r="D5" s="860"/>
      <c r="E5" s="860"/>
      <c r="F5" s="860"/>
      <c r="G5" s="860"/>
      <c r="H5" s="860"/>
      <c r="I5" s="860"/>
      <c r="J5" s="860"/>
      <c r="K5" s="940"/>
      <c r="L5" s="989"/>
      <c r="M5" s="989"/>
      <c r="N5" s="989"/>
      <c r="O5" s="989"/>
      <c r="P5" s="989"/>
      <c r="Q5" s="989"/>
      <c r="R5" s="989"/>
      <c r="S5" s="989"/>
      <c r="T5" s="989"/>
    </row>
    <row r="6" spans="1:20" x14ac:dyDescent="0.35">
      <c r="A6" s="860"/>
      <c r="B6" s="2150" t="s">
        <v>2189</v>
      </c>
      <c r="C6" s="2151"/>
      <c r="D6" s="2151"/>
      <c r="E6" s="2151"/>
      <c r="F6" s="2151"/>
      <c r="G6" s="2151"/>
      <c r="H6" s="2152" t="str">
        <f>+Anagrafica!C5</f>
        <v>Legale Rappresentante</v>
      </c>
      <c r="I6" s="2152"/>
      <c r="J6" s="2152"/>
      <c r="K6" s="2153"/>
      <c r="L6" s="989"/>
      <c r="M6" s="989"/>
      <c r="N6" s="989"/>
      <c r="O6" s="989"/>
      <c r="P6" s="989"/>
      <c r="Q6" s="989"/>
      <c r="R6" s="989"/>
      <c r="S6" s="989"/>
      <c r="T6" s="989"/>
    </row>
    <row r="7" spans="1:20" x14ac:dyDescent="0.35">
      <c r="A7" s="860"/>
      <c r="B7" s="939"/>
      <c r="C7" s="860"/>
      <c r="D7" s="860"/>
      <c r="E7" s="860"/>
      <c r="F7" s="860"/>
      <c r="G7" s="860"/>
      <c r="H7" s="860"/>
      <c r="I7" s="860"/>
      <c r="J7" s="860"/>
      <c r="K7" s="940"/>
      <c r="L7" s="989"/>
      <c r="M7" s="989"/>
      <c r="N7" s="989"/>
      <c r="O7" s="989"/>
      <c r="P7" s="989"/>
      <c r="Q7" s="989"/>
      <c r="R7" s="989"/>
      <c r="S7" s="989"/>
      <c r="T7" s="989"/>
    </row>
    <row r="8" spans="1:20" x14ac:dyDescent="0.35">
      <c r="A8" s="860"/>
      <c r="B8" s="2154" t="str">
        <f>+IF(OR(Anagrafica!C3="",Anagrafica!C4=""),"",CONCATENATE(Anagrafica!C3," codice fiscale ",Anagrafica!C4))</f>
        <v/>
      </c>
      <c r="C8" s="2152"/>
      <c r="D8" s="2152"/>
      <c r="E8" s="2152"/>
      <c r="F8" s="2152"/>
      <c r="G8" s="2152"/>
      <c r="H8" s="2152"/>
      <c r="I8" s="2152"/>
      <c r="J8" s="2152"/>
      <c r="K8" s="2153"/>
      <c r="L8" s="989"/>
      <c r="M8" s="989"/>
      <c r="N8" s="989"/>
      <c r="O8" s="989"/>
      <c r="P8" s="989"/>
      <c r="Q8" s="989"/>
      <c r="R8" s="989"/>
      <c r="S8" s="989"/>
      <c r="T8" s="989"/>
    </row>
    <row r="9" spans="1:20" x14ac:dyDescent="0.35">
      <c r="A9" s="860"/>
      <c r="B9" s="939"/>
      <c r="C9" s="860"/>
      <c r="D9" s="860"/>
      <c r="E9" s="860"/>
      <c r="F9" s="860"/>
      <c r="G9" s="860"/>
      <c r="H9" s="860"/>
      <c r="I9" s="860"/>
      <c r="J9" s="860"/>
      <c r="K9" s="940"/>
      <c r="L9" s="989"/>
      <c r="M9" s="989"/>
      <c r="N9" s="989"/>
      <c r="O9" s="989"/>
      <c r="P9" s="989"/>
      <c r="Q9" s="989"/>
      <c r="R9" s="989"/>
      <c r="S9" s="989"/>
      <c r="T9" s="989"/>
    </row>
    <row r="10" spans="1:20" x14ac:dyDescent="0.35">
      <c r="A10" s="860"/>
      <c r="B10" s="2155" t="s">
        <v>2132</v>
      </c>
      <c r="C10" s="2157" t="str">
        <f>+IF(OR(Anagrafica!C7="",Anagrafica!C8="",Anagrafica!H8=""),"",CONCATENATE(Anagrafica!C7," - ",Anagrafica!C8," (",Anagrafica!H8,")"))</f>
        <v/>
      </c>
      <c r="D10" s="2157"/>
      <c r="E10" s="2157"/>
      <c r="F10" s="2157"/>
      <c r="G10" s="2157"/>
      <c r="H10" s="2157"/>
      <c r="I10" s="2157"/>
      <c r="J10" s="2157"/>
      <c r="K10" s="2158"/>
      <c r="L10" s="989"/>
      <c r="M10" s="989"/>
      <c r="N10" s="989"/>
      <c r="O10" s="989"/>
      <c r="P10" s="989"/>
      <c r="Q10" s="989"/>
      <c r="R10" s="989"/>
      <c r="S10" s="989"/>
      <c r="T10" s="989"/>
    </row>
    <row r="11" spans="1:20" x14ac:dyDescent="0.35">
      <c r="A11" s="860"/>
      <c r="B11" s="2156"/>
      <c r="C11" s="2159"/>
      <c r="D11" s="2159"/>
      <c r="E11" s="2159"/>
      <c r="F11" s="2159"/>
      <c r="G11" s="2159"/>
      <c r="H11" s="2159"/>
      <c r="I11" s="2159"/>
      <c r="J11" s="2159"/>
      <c r="K11" s="2160"/>
      <c r="L11" s="989"/>
      <c r="M11" s="989"/>
      <c r="N11" s="989"/>
      <c r="O11" s="989"/>
      <c r="P11" s="989"/>
      <c r="Q11" s="989"/>
      <c r="R11" s="989"/>
      <c r="S11" s="989"/>
      <c r="T11" s="989"/>
    </row>
    <row r="12" spans="1:20" x14ac:dyDescent="0.35">
      <c r="A12" s="860"/>
      <c r="B12" s="941"/>
      <c r="C12" s="860"/>
      <c r="D12" s="860"/>
      <c r="E12" s="860"/>
      <c r="F12" s="860"/>
      <c r="G12" s="860"/>
      <c r="H12" s="860"/>
      <c r="I12" s="860"/>
      <c r="J12" s="860"/>
      <c r="K12" s="940"/>
      <c r="L12" s="989"/>
      <c r="M12" s="989"/>
      <c r="N12" s="989"/>
      <c r="O12" s="989"/>
      <c r="P12" s="989"/>
      <c r="Q12" s="989"/>
      <c r="R12" s="989"/>
      <c r="S12" s="989"/>
      <c r="T12" s="989"/>
    </row>
    <row r="13" spans="1:20" x14ac:dyDescent="0.35">
      <c r="A13" s="860"/>
      <c r="B13" s="936" t="s">
        <v>2049</v>
      </c>
      <c r="C13" s="2136">
        <f>+Anagrafica!C11</f>
        <v>0</v>
      </c>
      <c r="D13" s="2136"/>
      <c r="E13" s="860"/>
      <c r="F13" s="937" t="s">
        <v>2133</v>
      </c>
      <c r="G13" s="2136" t="str">
        <f>+IF(OR(Anagrafica!C12="",Anagrafica!E12=""),"",CONCATENATE(Anagrafica!E12," al N° ",Anagrafica!C12))</f>
        <v>Roma al N° 123456</v>
      </c>
      <c r="H13" s="2136"/>
      <c r="I13" s="2136"/>
      <c r="J13" s="2136"/>
      <c r="K13" s="2137"/>
      <c r="L13" s="989"/>
      <c r="M13" s="989"/>
      <c r="N13" s="989"/>
      <c r="O13" s="989"/>
      <c r="P13" s="989"/>
      <c r="Q13" s="989"/>
      <c r="R13" s="989"/>
      <c r="S13" s="989"/>
      <c r="T13" s="989"/>
    </row>
    <row r="14" spans="1:20" x14ac:dyDescent="0.35">
      <c r="A14" s="860"/>
      <c r="B14" s="941"/>
      <c r="C14" s="860"/>
      <c r="D14" s="860"/>
      <c r="E14" s="860"/>
      <c r="F14" s="860"/>
      <c r="G14" s="860"/>
      <c r="H14" s="860"/>
      <c r="I14" s="860"/>
      <c r="J14" s="860"/>
      <c r="K14" s="940"/>
      <c r="L14" s="989"/>
      <c r="M14" s="989"/>
      <c r="N14" s="989"/>
      <c r="O14" s="989"/>
      <c r="P14" s="989"/>
      <c r="Q14" s="989"/>
      <c r="R14" s="989"/>
      <c r="S14" s="989"/>
      <c r="T14" s="989"/>
    </row>
    <row r="15" spans="1:20" x14ac:dyDescent="0.35">
      <c r="A15" s="860"/>
      <c r="B15" s="936" t="s">
        <v>2048</v>
      </c>
      <c r="C15" s="2136" t="str">
        <f>+IF(Anagrafica!C9="","",Anagrafica!C9)</f>
        <v/>
      </c>
      <c r="D15" s="2136"/>
      <c r="E15" s="2136"/>
      <c r="F15" s="2136"/>
      <c r="G15" s="2136"/>
      <c r="H15" s="2136"/>
      <c r="I15" s="2136"/>
      <c r="J15" s="2136"/>
      <c r="K15" s="2137"/>
      <c r="L15" s="989"/>
      <c r="M15" s="989"/>
      <c r="N15" s="989"/>
      <c r="O15" s="989"/>
      <c r="P15" s="989"/>
      <c r="Q15" s="989"/>
      <c r="R15" s="989"/>
      <c r="S15" s="989"/>
      <c r="T15" s="989"/>
    </row>
    <row r="16" spans="1:20" ht="18.5" x14ac:dyDescent="0.35">
      <c r="A16" s="860"/>
      <c r="B16" s="2138" t="s">
        <v>2190</v>
      </c>
      <c r="C16" s="2139"/>
      <c r="D16" s="2139"/>
      <c r="E16" s="2139"/>
      <c r="F16" s="2139"/>
      <c r="G16" s="2139"/>
      <c r="H16" s="2139"/>
      <c r="I16" s="2139"/>
      <c r="J16" s="2139"/>
      <c r="K16" s="2140"/>
      <c r="L16" s="989"/>
      <c r="M16" s="989"/>
      <c r="N16" s="989"/>
      <c r="O16" s="989"/>
      <c r="P16" s="989"/>
      <c r="Q16" s="989"/>
      <c r="R16" s="989"/>
      <c r="S16" s="989"/>
      <c r="T16" s="989"/>
    </row>
    <row r="17" spans="1:20" x14ac:dyDescent="0.35">
      <c r="A17" s="860"/>
      <c r="B17" s="939" t="s">
        <v>2135</v>
      </c>
      <c r="C17" s="942" t="str">
        <f>+IF(F76=0,"",F76)</f>
        <v/>
      </c>
      <c r="D17" s="943" t="s">
        <v>2136</v>
      </c>
      <c r="E17" s="944" t="str">
        <f>+IFERROR(IF(C17="","",C17/K17),"")</f>
        <v/>
      </c>
      <c r="F17" s="860" t="s">
        <v>2191</v>
      </c>
      <c r="G17" s="860"/>
      <c r="H17" s="945"/>
      <c r="I17" s="945"/>
      <c r="J17" s="860"/>
      <c r="K17" s="946" t="str">
        <f>IF(Anagrafica!C38=0,"",Anagrafica!C30)</f>
        <v/>
      </c>
      <c r="L17" s="989"/>
      <c r="M17" s="989"/>
      <c r="N17" s="989"/>
      <c r="O17" s="989"/>
      <c r="P17" s="989"/>
      <c r="Q17" s="989"/>
      <c r="R17" s="989"/>
      <c r="S17" s="989"/>
      <c r="T17" s="989"/>
    </row>
    <row r="18" spans="1:20" x14ac:dyDescent="0.35">
      <c r="A18" s="860"/>
      <c r="B18" s="939" t="s">
        <v>2192</v>
      </c>
      <c r="C18" s="860"/>
      <c r="D18" s="860"/>
      <c r="E18" s="860"/>
      <c r="F18" s="860"/>
      <c r="G18" s="860"/>
      <c r="H18" s="860"/>
      <c r="I18" s="860"/>
      <c r="J18" s="860"/>
      <c r="K18" s="940"/>
      <c r="L18" s="989"/>
      <c r="M18" s="989"/>
      <c r="N18" s="989"/>
      <c r="O18" s="989"/>
      <c r="P18" s="989"/>
      <c r="Q18" s="989"/>
      <c r="R18" s="989"/>
      <c r="S18" s="989"/>
      <c r="T18" s="989"/>
    </row>
    <row r="19" spans="1:20" x14ac:dyDescent="0.35">
      <c r="A19" s="860"/>
      <c r="B19" s="947" t="s">
        <v>2193</v>
      </c>
      <c r="C19" s="948"/>
      <c r="D19" s="948"/>
      <c r="E19" s="949" t="str" cm="1">
        <f t="array" aca="1" ref="E19" ca="1">IFERROR(SUMIFS(Imponibilesal1,Quietanzasal1,"SI"),"")</f>
        <v/>
      </c>
      <c r="F19" s="2102" t="str">
        <f ca="1">IF(E19&lt;Anticipo!C18,"L'importo quietanzato deve essere almeno pari al valore dell'anticipo","")</f>
        <v/>
      </c>
      <c r="G19" s="2102"/>
      <c r="H19" s="2102"/>
      <c r="I19" s="2102"/>
      <c r="J19" s="2102"/>
      <c r="K19" s="2103"/>
      <c r="L19" s="989"/>
      <c r="M19" s="989"/>
      <c r="N19" s="989"/>
      <c r="O19" s="989"/>
      <c r="P19" s="989"/>
      <c r="Q19" s="989"/>
      <c r="R19" s="989"/>
      <c r="S19" s="989"/>
      <c r="T19" s="989"/>
    </row>
    <row r="20" spans="1:20" x14ac:dyDescent="0.35">
      <c r="A20" s="860"/>
      <c r="B20" s="947" t="s">
        <v>2194</v>
      </c>
      <c r="C20" s="948"/>
      <c r="D20" s="948"/>
      <c r="E20" s="949" t="str" cm="1">
        <f t="array" aca="1" ref="E20" ca="1">IFERROR(SUMIFS(Imponibilesal1,Quietanzasal1,"NO"),"")</f>
        <v/>
      </c>
      <c r="F20" s="2102" t="str">
        <f ca="1">+IFERROR(+IF(E20/K17&gt;20%,"Superato limite del 20% per il 1° SAL previsto dalla normativa",""),"")</f>
        <v/>
      </c>
      <c r="G20" s="2102"/>
      <c r="H20" s="2102"/>
      <c r="I20" s="2102"/>
      <c r="J20" s="2102"/>
      <c r="K20" s="2103"/>
      <c r="L20" s="989"/>
      <c r="M20" s="989"/>
      <c r="N20" s="989"/>
      <c r="O20" s="989"/>
      <c r="P20" s="989"/>
      <c r="Q20" s="989"/>
      <c r="R20" s="989"/>
      <c r="S20" s="989"/>
      <c r="T20" s="989"/>
    </row>
    <row r="21" spans="1:20" x14ac:dyDescent="0.35">
      <c r="A21" s="860"/>
      <c r="B21" s="2144" t="str">
        <f>+CONCATENATE("La somma eventualmente erogata dovrà essere accreditata sul c/c bancario intestato alla Società istituito presso l'istituto di credito ",Anagrafica!C46," - Filiale/Agenzia ",+Anagrafica!C47)</f>
        <v>La somma eventualmente erogata dovrà essere accreditata sul c/c bancario intestato alla Società istituito presso l'istituto di credito BANCA SELLA - Filiale/Agenzia AGENZIA 30</v>
      </c>
      <c r="C21" s="2145"/>
      <c r="D21" s="2145"/>
      <c r="E21" s="2145"/>
      <c r="F21" s="2145"/>
      <c r="G21" s="2145"/>
      <c r="H21" s="2145"/>
      <c r="I21" s="2145"/>
      <c r="J21" s="2145"/>
      <c r="K21" s="2146"/>
      <c r="L21" s="989"/>
      <c r="M21" s="989"/>
      <c r="N21" s="989"/>
      <c r="O21" s="989"/>
      <c r="P21" s="989"/>
      <c r="Q21" s="989"/>
      <c r="R21" s="989"/>
      <c r="S21" s="989"/>
      <c r="T21" s="989"/>
    </row>
    <row r="22" spans="1:20" x14ac:dyDescent="0.35">
      <c r="A22" s="860"/>
      <c r="B22" s="2141" t="str">
        <f>+CONCATENATE("IBAN di riferimento - ",Anagrafica!C50,Anagrafica!D50,Anagrafica!E50,Anagrafica!F50,Anagrafica!G50,Anagrafica!H50)</f>
        <v>IBAN di riferimento - IT</v>
      </c>
      <c r="C22" s="2142"/>
      <c r="D22" s="2142"/>
      <c r="E22" s="2142"/>
      <c r="F22" s="2142"/>
      <c r="G22" s="2142"/>
      <c r="H22" s="2142"/>
      <c r="I22" s="2142"/>
      <c r="J22" s="2142"/>
      <c r="K22" s="2143"/>
      <c r="L22" s="989"/>
      <c r="M22" s="989"/>
      <c r="N22" s="989"/>
      <c r="O22" s="989"/>
      <c r="P22" s="989"/>
      <c r="Q22" s="989"/>
      <c r="R22" s="989"/>
      <c r="S22" s="989"/>
      <c r="T22" s="989"/>
    </row>
    <row r="23" spans="1:20" x14ac:dyDescent="0.35">
      <c r="A23" s="860"/>
      <c r="B23" s="2029" t="s">
        <v>2138</v>
      </c>
      <c r="C23" s="2030"/>
      <c r="D23" s="2030"/>
      <c r="E23" s="2030"/>
      <c r="F23" s="2030"/>
      <c r="G23" s="2030"/>
      <c r="H23" s="2030"/>
      <c r="I23" s="2030"/>
      <c r="J23" s="2030"/>
      <c r="K23" s="2031"/>
      <c r="L23" s="989"/>
      <c r="M23" s="989"/>
      <c r="N23" s="989"/>
      <c r="O23" s="989"/>
      <c r="P23" s="989"/>
      <c r="Q23" s="989"/>
      <c r="R23" s="989"/>
      <c r="S23" s="989"/>
      <c r="T23" s="989"/>
    </row>
    <row r="24" spans="1:20" x14ac:dyDescent="0.35">
      <c r="A24" s="860"/>
      <c r="B24" s="2029"/>
      <c r="C24" s="2030"/>
      <c r="D24" s="2030"/>
      <c r="E24" s="2030"/>
      <c r="F24" s="2030"/>
      <c r="G24" s="2030"/>
      <c r="H24" s="2030"/>
      <c r="I24" s="2030"/>
      <c r="J24" s="2030"/>
      <c r="K24" s="2031"/>
      <c r="L24" s="989"/>
      <c r="M24" s="989"/>
      <c r="N24" s="989"/>
      <c r="O24" s="989"/>
      <c r="P24" s="989"/>
      <c r="Q24" s="989"/>
      <c r="R24" s="989"/>
      <c r="S24" s="989"/>
      <c r="T24" s="989"/>
    </row>
    <row r="25" spans="1:20" ht="15" thickBot="1" x14ac:dyDescent="0.4">
      <c r="A25" s="860"/>
      <c r="B25" s="2032"/>
      <c r="C25" s="2033"/>
      <c r="D25" s="2033"/>
      <c r="E25" s="2033"/>
      <c r="F25" s="2033"/>
      <c r="G25" s="2033"/>
      <c r="H25" s="2033"/>
      <c r="I25" s="2033"/>
      <c r="J25" s="2033"/>
      <c r="K25" s="2034"/>
      <c r="L25" s="989"/>
      <c r="M25" s="989"/>
      <c r="N25" s="989"/>
      <c r="O25" s="989"/>
      <c r="P25" s="989"/>
      <c r="Q25" s="989"/>
      <c r="R25" s="989"/>
      <c r="S25" s="989"/>
      <c r="T25" s="989"/>
    </row>
    <row r="26" spans="1:20" ht="15" thickBot="1" x14ac:dyDescent="0.4">
      <c r="A26" s="860"/>
      <c r="B26" s="860"/>
      <c r="C26" s="860"/>
      <c r="D26" s="860"/>
      <c r="E26" s="860"/>
      <c r="F26" s="860"/>
      <c r="G26" s="860"/>
      <c r="H26" s="860"/>
      <c r="I26" s="860"/>
      <c r="J26" s="860"/>
      <c r="K26" s="860"/>
      <c r="L26" s="989"/>
      <c r="M26" s="989"/>
      <c r="N26" s="989"/>
      <c r="O26" s="989"/>
      <c r="P26" s="989"/>
      <c r="Q26" s="989"/>
      <c r="R26" s="989"/>
      <c r="S26" s="989"/>
      <c r="T26" s="989"/>
    </row>
    <row r="27" spans="1:20" ht="15" thickBot="1" x14ac:dyDescent="0.4">
      <c r="A27" s="860"/>
      <c r="B27" s="2196" t="s">
        <v>2195</v>
      </c>
      <c r="C27" s="1148" t="s">
        <v>564</v>
      </c>
      <c r="D27" s="1149" t="s">
        <v>2140</v>
      </c>
      <c r="E27" s="1149" t="s">
        <v>2141</v>
      </c>
      <c r="F27" s="1149" t="s">
        <v>2142</v>
      </c>
      <c r="G27" s="1149" t="s">
        <v>2143</v>
      </c>
      <c r="H27" s="1149" t="s">
        <v>2144</v>
      </c>
      <c r="I27" s="1150" t="s">
        <v>2145</v>
      </c>
      <c r="J27" s="1151" t="s">
        <v>2146</v>
      </c>
      <c r="K27" s="860"/>
      <c r="L27" s="989"/>
      <c r="M27" s="989"/>
      <c r="N27" s="989"/>
      <c r="O27" s="989"/>
      <c r="P27" s="989"/>
      <c r="Q27" s="989"/>
      <c r="R27" s="989"/>
      <c r="S27" s="989"/>
      <c r="T27" s="989"/>
    </row>
    <row r="28" spans="1:20" ht="15" thickBot="1" x14ac:dyDescent="0.4">
      <c r="A28" s="860"/>
      <c r="B28" s="2197"/>
      <c r="C28" s="899" t="s">
        <v>2080</v>
      </c>
      <c r="D28" s="900"/>
      <c r="E28" s="1163">
        <v>20</v>
      </c>
      <c r="F28" s="900"/>
      <c r="G28" s="900"/>
      <c r="H28" s="900" t="s">
        <v>2148</v>
      </c>
      <c r="I28" s="1141"/>
      <c r="J28" s="901"/>
      <c r="K28" s="860"/>
      <c r="L28" s="989"/>
      <c r="M28" s="989"/>
      <c r="N28" s="989"/>
      <c r="O28" s="989"/>
      <c r="P28" s="989"/>
      <c r="Q28" s="989"/>
      <c r="R28" s="989"/>
      <c r="S28" s="989"/>
      <c r="T28" s="989"/>
    </row>
    <row r="29" spans="1:20" ht="15" thickBot="1" x14ac:dyDescent="0.4">
      <c r="A29" s="860"/>
      <c r="B29" s="2198"/>
      <c r="C29" s="899" t="s">
        <v>2196</v>
      </c>
      <c r="D29" s="900"/>
      <c r="E29" s="1163">
        <v>20</v>
      </c>
      <c r="F29" s="900"/>
      <c r="G29" s="900"/>
      <c r="H29" s="900" t="s">
        <v>2148</v>
      </c>
      <c r="I29" s="1141"/>
      <c r="J29" s="901"/>
      <c r="K29" s="860"/>
      <c r="L29" s="989"/>
      <c r="M29" s="989"/>
      <c r="N29" s="989"/>
      <c r="O29" s="989"/>
      <c r="P29" s="989"/>
      <c r="Q29" s="989"/>
      <c r="R29" s="989"/>
      <c r="S29" s="989"/>
      <c r="T29" s="989"/>
    </row>
    <row r="30" spans="1:20" ht="15" thickBot="1" x14ac:dyDescent="0.4">
      <c r="A30" s="860"/>
      <c r="B30" s="860"/>
      <c r="C30" s="860"/>
      <c r="D30" s="860"/>
      <c r="E30" s="860"/>
      <c r="F30" s="860"/>
      <c r="G30" s="860"/>
      <c r="H30" s="860"/>
      <c r="I30" s="860"/>
      <c r="J30" s="860"/>
      <c r="K30" s="860"/>
      <c r="L30" s="989"/>
      <c r="M30" s="989"/>
      <c r="N30" s="989"/>
      <c r="O30" s="989"/>
      <c r="P30" s="989"/>
      <c r="Q30" s="989"/>
      <c r="R30" s="989"/>
      <c r="S30" s="989"/>
      <c r="T30" s="989"/>
    </row>
    <row r="31" spans="1:20" ht="15" thickBot="1" x14ac:dyDescent="0.4">
      <c r="A31" s="860"/>
      <c r="B31" s="2003" t="s">
        <v>2149</v>
      </c>
      <c r="C31" s="2004"/>
      <c r="D31" s="2004"/>
      <c r="E31" s="2004"/>
      <c r="F31" s="2004"/>
      <c r="G31" s="2004"/>
      <c r="H31" s="2004"/>
      <c r="I31" s="2005"/>
      <c r="J31" s="860"/>
      <c r="K31" s="860"/>
      <c r="L31" s="989"/>
      <c r="M31" s="989"/>
      <c r="N31" s="989"/>
      <c r="O31" s="989"/>
      <c r="P31" s="989"/>
      <c r="Q31" s="989"/>
      <c r="R31" s="989"/>
      <c r="S31" s="989"/>
      <c r="T31" s="989"/>
    </row>
    <row r="32" spans="1:20" ht="15" thickBot="1" x14ac:dyDescent="0.4">
      <c r="A32" s="860"/>
      <c r="B32" s="1985" t="s">
        <v>2150</v>
      </c>
      <c r="C32" s="1986"/>
      <c r="D32" s="1986"/>
      <c r="E32" s="1986"/>
      <c r="F32" s="1123" t="s">
        <v>2151</v>
      </c>
      <c r="G32" s="2000" t="s">
        <v>574</v>
      </c>
      <c r="H32" s="2001"/>
      <c r="I32" s="2002"/>
      <c r="J32" s="860"/>
      <c r="K32" s="860"/>
      <c r="L32" s="989"/>
      <c r="M32" s="989"/>
      <c r="N32" s="989"/>
      <c r="O32" s="989"/>
      <c r="P32" s="989"/>
      <c r="Q32" s="989"/>
      <c r="R32" s="989"/>
      <c r="S32" s="989"/>
      <c r="T32" s="989"/>
    </row>
    <row r="33" spans="1:20" x14ac:dyDescent="0.35">
      <c r="A33" s="860"/>
      <c r="B33" s="2006" t="str">
        <f>+IF(Anagrafica!$H$6="Società di capitali","ANT 1 - Dichiarazione e Certificato Antimafia Società","ANT 2- Dichiarazione e Certificato Antimafia Cooperative")</f>
        <v>ANT 2- Dichiarazione e Certificato Antimafia Cooperative</v>
      </c>
      <c r="C33" s="2007"/>
      <c r="D33" s="2007"/>
      <c r="E33" s="2008"/>
      <c r="F33" s="1127"/>
      <c r="G33" s="2009"/>
      <c r="H33" s="2010"/>
      <c r="I33" s="2011"/>
      <c r="J33" s="860"/>
      <c r="K33" s="860"/>
      <c r="L33" s="989"/>
      <c r="M33" s="989"/>
      <c r="N33" s="989"/>
      <c r="O33" s="989"/>
      <c r="P33" s="989"/>
      <c r="Q33" s="989"/>
      <c r="R33" s="989"/>
      <c r="S33" s="989"/>
      <c r="T33" s="989"/>
    </row>
    <row r="34" spans="1:20" ht="15" thickBot="1" x14ac:dyDescent="0.4">
      <c r="A34" s="860"/>
      <c r="B34" s="1991" t="s">
        <v>2152</v>
      </c>
      <c r="C34" s="1992"/>
      <c r="D34" s="1992"/>
      <c r="E34" s="1993"/>
      <c r="F34" s="1128"/>
      <c r="G34" s="1994"/>
      <c r="H34" s="1995"/>
      <c r="I34" s="1996"/>
      <c r="J34" s="860"/>
      <c r="K34" s="860"/>
      <c r="L34" s="989"/>
      <c r="M34" s="989"/>
      <c r="N34" s="989"/>
      <c r="O34" s="989"/>
      <c r="P34" s="989"/>
      <c r="Q34" s="989"/>
      <c r="R34" s="989"/>
      <c r="S34" s="989"/>
      <c r="T34" s="989"/>
    </row>
    <row r="35" spans="1:20" ht="15" thickBot="1" x14ac:dyDescent="0.4">
      <c r="A35" s="860"/>
      <c r="B35" s="1997" t="s">
        <v>2153</v>
      </c>
      <c r="C35" s="1998"/>
      <c r="D35" s="1998"/>
      <c r="E35" s="1998"/>
      <c r="F35" s="1998"/>
      <c r="G35" s="1998"/>
      <c r="H35" s="1998"/>
      <c r="I35" s="1999"/>
      <c r="J35" s="860"/>
      <c r="K35" s="860"/>
      <c r="L35" s="989"/>
      <c r="M35" s="989"/>
      <c r="N35" s="989"/>
      <c r="O35" s="989"/>
      <c r="P35" s="989"/>
      <c r="Q35" s="989"/>
      <c r="R35" s="989"/>
      <c r="S35" s="989"/>
      <c r="T35" s="989"/>
    </row>
    <row r="36" spans="1:20" x14ac:dyDescent="0.35">
      <c r="A36" s="860"/>
      <c r="B36" s="2119" t="s">
        <v>2154</v>
      </c>
      <c r="C36" s="2120"/>
      <c r="D36" s="2120"/>
      <c r="E36" s="2121"/>
      <c r="F36" s="1161" t="s">
        <v>2151</v>
      </c>
      <c r="G36" s="2122" t="s">
        <v>574</v>
      </c>
      <c r="H36" s="2123"/>
      <c r="I36" s="2124"/>
      <c r="J36" s="860"/>
      <c r="K36" s="860"/>
      <c r="L36" s="989"/>
      <c r="M36" s="989"/>
      <c r="N36" s="989"/>
      <c r="O36" s="989"/>
      <c r="P36" s="989"/>
      <c r="Q36" s="989"/>
      <c r="R36" s="989"/>
      <c r="S36" s="989"/>
      <c r="T36" s="989"/>
    </row>
    <row r="37" spans="1:20" ht="15" thickBot="1" x14ac:dyDescent="0.4">
      <c r="A37" s="860"/>
      <c r="B37" s="2125" t="s">
        <v>2080</v>
      </c>
      <c r="C37" s="2126"/>
      <c r="D37" s="2126"/>
      <c r="E37" s="2127"/>
      <c r="F37" s="1162"/>
      <c r="G37" s="2128"/>
      <c r="H37" s="2129"/>
      <c r="I37" s="2130"/>
      <c r="J37" s="860"/>
      <c r="K37" s="860"/>
      <c r="L37" s="989"/>
      <c r="M37" s="989"/>
      <c r="N37" s="989"/>
      <c r="O37" s="989"/>
      <c r="P37" s="989"/>
      <c r="Q37" s="989"/>
      <c r="R37" s="989"/>
      <c r="S37" s="989"/>
      <c r="T37" s="989"/>
    </row>
    <row r="38" spans="1:20" ht="15" thickBot="1" x14ac:dyDescent="0.4">
      <c r="A38" s="860"/>
      <c r="B38" s="2131" t="s">
        <v>2197</v>
      </c>
      <c r="C38" s="2132"/>
      <c r="D38" s="2132"/>
      <c r="E38" s="2132"/>
      <c r="F38" s="1142"/>
      <c r="G38" s="1983"/>
      <c r="H38" s="1983"/>
      <c r="I38" s="1984"/>
      <c r="J38" s="860"/>
      <c r="K38" s="860"/>
      <c r="L38" s="989"/>
      <c r="M38" s="989"/>
      <c r="N38" s="989"/>
      <c r="O38" s="989"/>
      <c r="P38" s="989"/>
      <c r="Q38" s="989"/>
      <c r="R38" s="989"/>
      <c r="S38" s="989"/>
      <c r="T38" s="989"/>
    </row>
    <row r="39" spans="1:20" ht="15" thickBot="1" x14ac:dyDescent="0.4">
      <c r="A39" s="860"/>
      <c r="B39" s="1129" t="s">
        <v>2156</v>
      </c>
      <c r="C39" s="1130"/>
      <c r="D39" s="1130"/>
      <c r="E39" s="1130"/>
      <c r="F39" s="1130"/>
      <c r="G39" s="1130"/>
      <c r="H39" s="1130"/>
      <c r="I39" s="1131"/>
      <c r="J39" s="860"/>
      <c r="K39" s="860"/>
      <c r="L39" s="989"/>
      <c r="M39" s="989"/>
      <c r="N39" s="989"/>
      <c r="O39" s="989"/>
      <c r="P39" s="989"/>
      <c r="Q39" s="989"/>
      <c r="R39" s="989"/>
      <c r="S39" s="989"/>
      <c r="T39" s="989"/>
    </row>
    <row r="40" spans="1:20" ht="15" thickBot="1" x14ac:dyDescent="0.4">
      <c r="A40" s="860"/>
      <c r="B40" s="1985" t="s">
        <v>2157</v>
      </c>
      <c r="C40" s="1986"/>
      <c r="D40" s="1986"/>
      <c r="E40" s="1987"/>
      <c r="F40" s="1124" t="s">
        <v>2151</v>
      </c>
      <c r="G40" s="2000" t="s">
        <v>574</v>
      </c>
      <c r="H40" s="2001"/>
      <c r="I40" s="2002"/>
      <c r="J40" s="860"/>
      <c r="K40" s="860"/>
      <c r="L40" s="989"/>
      <c r="M40" s="989"/>
      <c r="N40" s="989"/>
      <c r="O40" s="989"/>
      <c r="P40" s="989"/>
      <c r="Q40" s="989"/>
      <c r="R40" s="989"/>
      <c r="S40" s="989"/>
      <c r="T40" s="989"/>
    </row>
    <row r="41" spans="1:20" x14ac:dyDescent="0.35">
      <c r="A41" s="860"/>
      <c r="B41" s="2012" t="s">
        <v>2158</v>
      </c>
      <c r="C41" s="2013"/>
      <c r="D41" s="2013"/>
      <c r="E41" s="2014"/>
      <c r="F41" s="1125"/>
      <c r="G41" s="2015"/>
      <c r="H41" s="2016"/>
      <c r="I41" s="2017"/>
      <c r="J41" s="860"/>
      <c r="K41" s="860"/>
      <c r="L41" s="989"/>
      <c r="M41" s="989"/>
      <c r="N41" s="989"/>
      <c r="O41" s="989"/>
      <c r="P41" s="989"/>
      <c r="Q41" s="989"/>
      <c r="R41" s="989"/>
      <c r="S41" s="989"/>
      <c r="T41" s="989"/>
    </row>
    <row r="42" spans="1:20" x14ac:dyDescent="0.35">
      <c r="A42" s="860"/>
      <c r="B42" s="2211" t="s">
        <v>2198</v>
      </c>
      <c r="C42" s="2212"/>
      <c r="D42" s="2212"/>
      <c r="E42" s="2213"/>
      <c r="F42" s="1126"/>
      <c r="G42" s="2214"/>
      <c r="H42" s="2215"/>
      <c r="I42" s="2216"/>
      <c r="J42" s="860"/>
      <c r="K42" s="860"/>
      <c r="L42" s="989"/>
      <c r="M42" s="989"/>
      <c r="N42" s="989"/>
      <c r="O42" s="989"/>
      <c r="P42" s="989"/>
      <c r="Q42" s="989"/>
      <c r="R42" s="989"/>
      <c r="S42" s="989"/>
      <c r="T42" s="989"/>
    </row>
    <row r="43" spans="1:20" x14ac:dyDescent="0.35">
      <c r="A43" s="860"/>
      <c r="B43" s="2211" t="s">
        <v>2159</v>
      </c>
      <c r="C43" s="2212"/>
      <c r="D43" s="2212"/>
      <c r="E43" s="2213"/>
      <c r="F43" s="1126"/>
      <c r="G43" s="2214"/>
      <c r="H43" s="2215"/>
      <c r="I43" s="2216"/>
      <c r="J43" s="860"/>
      <c r="K43" s="860"/>
      <c r="L43" s="989"/>
      <c r="M43" s="989"/>
      <c r="N43" s="989"/>
      <c r="O43" s="989"/>
      <c r="P43" s="989"/>
      <c r="Q43" s="989"/>
      <c r="R43" s="989"/>
      <c r="S43" s="989"/>
      <c r="T43" s="989"/>
    </row>
    <row r="44" spans="1:20" x14ac:dyDescent="0.35">
      <c r="A44" s="860"/>
      <c r="B44" s="2211" t="s">
        <v>2199</v>
      </c>
      <c r="C44" s="2212"/>
      <c r="D44" s="2212"/>
      <c r="E44" s="2213"/>
      <c r="F44" s="1126"/>
      <c r="G44" s="2214"/>
      <c r="H44" s="2215"/>
      <c r="I44" s="2216"/>
      <c r="J44" s="860"/>
      <c r="K44" s="860"/>
      <c r="L44" s="989"/>
      <c r="M44" s="989"/>
      <c r="N44" s="989"/>
      <c r="O44" s="989"/>
      <c r="P44" s="989"/>
      <c r="Q44" s="989"/>
      <c r="R44" s="989"/>
      <c r="S44" s="989"/>
      <c r="T44" s="989"/>
    </row>
    <row r="45" spans="1:20" ht="15" thickBot="1" x14ac:dyDescent="0.4">
      <c r="A45" s="860"/>
      <c r="B45" s="2018" t="s">
        <v>2200</v>
      </c>
      <c r="C45" s="2019"/>
      <c r="D45" s="2019"/>
      <c r="E45" s="2020"/>
      <c r="F45" s="1132"/>
      <c r="G45" s="1994"/>
      <c r="H45" s="1995"/>
      <c r="I45" s="1996"/>
      <c r="J45" s="860"/>
      <c r="K45" s="860"/>
      <c r="L45" s="989"/>
      <c r="M45" s="989"/>
      <c r="N45" s="989"/>
      <c r="O45" s="989"/>
      <c r="P45" s="989"/>
      <c r="Q45" s="989"/>
      <c r="R45" s="989"/>
      <c r="S45" s="989"/>
      <c r="T45" s="989"/>
    </row>
    <row r="46" spans="1:20" ht="15" thickBot="1" x14ac:dyDescent="0.4">
      <c r="A46" s="860"/>
      <c r="B46" s="2003" t="s">
        <v>2160</v>
      </c>
      <c r="C46" s="2004"/>
      <c r="D46" s="2004"/>
      <c r="E46" s="2004"/>
      <c r="F46" s="2004"/>
      <c r="G46" s="2004"/>
      <c r="H46" s="2004"/>
      <c r="I46" s="2005"/>
      <c r="J46" s="860"/>
      <c r="K46" s="860"/>
      <c r="L46" s="989"/>
      <c r="M46" s="989"/>
      <c r="N46" s="989"/>
      <c r="O46" s="989"/>
      <c r="P46" s="989"/>
      <c r="Q46" s="989"/>
      <c r="R46" s="989"/>
      <c r="S46" s="989"/>
      <c r="T46" s="989"/>
    </row>
    <row r="47" spans="1:20" ht="15" thickBot="1" x14ac:dyDescent="0.4">
      <c r="A47" s="860"/>
      <c r="B47" s="1985" t="s">
        <v>2161</v>
      </c>
      <c r="C47" s="1986"/>
      <c r="D47" s="1986"/>
      <c r="E47" s="1987"/>
      <c r="F47" s="1124" t="s">
        <v>2151</v>
      </c>
      <c r="G47" s="2000" t="s">
        <v>574</v>
      </c>
      <c r="H47" s="2001"/>
      <c r="I47" s="2002"/>
      <c r="J47" s="860"/>
      <c r="K47" s="860"/>
      <c r="L47" s="989"/>
      <c r="M47" s="989"/>
      <c r="N47" s="989"/>
      <c r="O47" s="989"/>
      <c r="P47" s="989"/>
      <c r="Q47" s="989"/>
      <c r="R47" s="989"/>
      <c r="S47" s="989"/>
      <c r="T47" s="989"/>
    </row>
    <row r="48" spans="1:20" ht="15" customHeight="1" x14ac:dyDescent="0.35">
      <c r="A48" s="860"/>
      <c r="B48" s="2116" t="s">
        <v>2162</v>
      </c>
      <c r="C48" s="2117"/>
      <c r="D48" s="2117"/>
      <c r="E48" s="2118"/>
      <c r="F48" s="1136"/>
      <c r="G48" s="1133"/>
      <c r="H48" s="1134"/>
      <c r="I48" s="1135"/>
      <c r="J48" s="860"/>
      <c r="K48" s="860"/>
      <c r="L48" s="989"/>
      <c r="M48" s="989"/>
      <c r="N48" s="989"/>
      <c r="O48" s="989"/>
      <c r="P48" s="989"/>
      <c r="Q48" s="989"/>
      <c r="R48" s="989"/>
      <c r="S48" s="989"/>
      <c r="T48" s="989"/>
    </row>
    <row r="49" spans="1:20" ht="15" customHeight="1" x14ac:dyDescent="0.35">
      <c r="A49" s="860"/>
      <c r="B49" s="2110" t="s">
        <v>2201</v>
      </c>
      <c r="C49" s="2111"/>
      <c r="D49" s="2111"/>
      <c r="E49" s="2112"/>
      <c r="F49" s="1208"/>
      <c r="G49" s="1209"/>
      <c r="H49" s="1210"/>
      <c r="I49" s="1211"/>
      <c r="J49" s="860"/>
      <c r="K49" s="860"/>
      <c r="L49" s="989"/>
      <c r="M49" s="989"/>
      <c r="N49" s="989"/>
      <c r="O49" s="989"/>
      <c r="P49" s="989"/>
      <c r="Q49" s="989"/>
      <c r="R49" s="989"/>
      <c r="S49" s="989"/>
      <c r="T49" s="989"/>
    </row>
    <row r="50" spans="1:20" ht="15" customHeight="1" x14ac:dyDescent="0.35">
      <c r="A50" s="860"/>
      <c r="B50" s="2110" t="s">
        <v>2202</v>
      </c>
      <c r="C50" s="2111"/>
      <c r="D50" s="2111"/>
      <c r="E50" s="2112"/>
      <c r="F50" s="1208"/>
      <c r="G50" s="2107"/>
      <c r="H50" s="2108"/>
      <c r="I50" s="2109"/>
      <c r="J50" s="860"/>
      <c r="K50" s="860"/>
      <c r="L50" s="989"/>
      <c r="M50" s="989"/>
      <c r="N50" s="989"/>
      <c r="O50" s="989"/>
      <c r="P50" s="989"/>
      <c r="Q50" s="989"/>
      <c r="R50" s="989"/>
      <c r="S50" s="989"/>
      <c r="T50" s="989"/>
    </row>
    <row r="51" spans="1:20" ht="15" customHeight="1" x14ac:dyDescent="0.35">
      <c r="A51" s="860"/>
      <c r="B51" s="2110" t="s">
        <v>2203</v>
      </c>
      <c r="C51" s="2111"/>
      <c r="D51" s="2111"/>
      <c r="E51" s="2112"/>
      <c r="F51" s="1208"/>
      <c r="G51" s="2107"/>
      <c r="H51" s="2108"/>
      <c r="I51" s="2109"/>
      <c r="J51" s="860"/>
      <c r="K51" s="860"/>
      <c r="L51" s="989"/>
      <c r="M51" s="989"/>
      <c r="N51" s="989"/>
      <c r="O51" s="989"/>
      <c r="P51" s="989"/>
      <c r="Q51" s="989"/>
      <c r="R51" s="989"/>
      <c r="S51" s="989"/>
      <c r="T51" s="989"/>
    </row>
    <row r="52" spans="1:20" ht="44.5" customHeight="1" x14ac:dyDescent="0.35">
      <c r="A52" s="860"/>
      <c r="B52" s="2104" t="s">
        <v>2204</v>
      </c>
      <c r="C52" s="2105"/>
      <c r="D52" s="2105"/>
      <c r="E52" s="2106"/>
      <c r="F52" s="1208"/>
      <c r="G52" s="2107"/>
      <c r="H52" s="2108"/>
      <c r="I52" s="2109"/>
      <c r="J52" s="860"/>
      <c r="K52" s="860"/>
      <c r="L52" s="989"/>
      <c r="M52" s="989"/>
      <c r="N52" s="989"/>
      <c r="O52" s="989"/>
      <c r="P52" s="989"/>
      <c r="Q52" s="989"/>
      <c r="R52" s="989"/>
      <c r="S52" s="989"/>
      <c r="T52" s="989"/>
    </row>
    <row r="53" spans="1:20" ht="60" customHeight="1" x14ac:dyDescent="0.35">
      <c r="A53" s="860"/>
      <c r="B53" s="2133" t="s">
        <v>2205</v>
      </c>
      <c r="C53" s="2134"/>
      <c r="D53" s="2134"/>
      <c r="E53" s="2135"/>
      <c r="F53" s="1208"/>
      <c r="G53" s="2107"/>
      <c r="H53" s="2108"/>
      <c r="I53" s="2109"/>
      <c r="J53" s="860"/>
      <c r="K53" s="860"/>
      <c r="L53" s="989"/>
      <c r="M53" s="989"/>
      <c r="N53" s="989"/>
      <c r="O53" s="989"/>
      <c r="P53" s="989"/>
      <c r="Q53" s="989"/>
      <c r="R53" s="989"/>
      <c r="S53" s="989"/>
      <c r="T53" s="989"/>
    </row>
    <row r="54" spans="1:20" ht="60.75" customHeight="1" x14ac:dyDescent="0.35">
      <c r="A54" s="860"/>
      <c r="B54" s="2104" t="s">
        <v>2206</v>
      </c>
      <c r="C54" s="2105"/>
      <c r="D54" s="2105"/>
      <c r="E54" s="2106"/>
      <c r="F54" s="1137"/>
      <c r="G54" s="2107"/>
      <c r="H54" s="2108"/>
      <c r="I54" s="2109"/>
      <c r="J54" s="860"/>
      <c r="K54" s="860"/>
      <c r="L54" s="989"/>
      <c r="M54" s="989"/>
      <c r="N54" s="989"/>
      <c r="O54" s="989"/>
      <c r="P54" s="989"/>
      <c r="Q54" s="989"/>
      <c r="R54" s="989"/>
      <c r="S54" s="989"/>
      <c r="T54" s="989"/>
    </row>
    <row r="55" spans="1:20" ht="42" customHeight="1" x14ac:dyDescent="0.35">
      <c r="A55" s="860"/>
      <c r="B55" s="2104" t="s">
        <v>2207</v>
      </c>
      <c r="C55" s="2105"/>
      <c r="D55" s="2105"/>
      <c r="E55" s="2106"/>
      <c r="F55" s="1137"/>
      <c r="G55" s="2107"/>
      <c r="H55" s="2108"/>
      <c r="I55" s="2109"/>
      <c r="J55" s="860"/>
      <c r="K55" s="860"/>
      <c r="L55" s="989"/>
      <c r="M55" s="989"/>
      <c r="N55" s="989"/>
      <c r="O55" s="989"/>
      <c r="P55" s="989"/>
      <c r="Q55" s="989"/>
      <c r="R55" s="989"/>
      <c r="S55" s="989"/>
      <c r="T55" s="989"/>
    </row>
    <row r="56" spans="1:20" ht="36.75" customHeight="1" x14ac:dyDescent="0.35">
      <c r="A56" s="860"/>
      <c r="B56" s="2104" t="s">
        <v>2208</v>
      </c>
      <c r="C56" s="2105"/>
      <c r="D56" s="2105"/>
      <c r="E56" s="2106"/>
      <c r="F56" s="1137"/>
      <c r="G56" s="2107"/>
      <c r="H56" s="2108"/>
      <c r="I56" s="2109"/>
      <c r="J56" s="860"/>
      <c r="K56" s="860"/>
      <c r="L56" s="989"/>
      <c r="M56" s="989"/>
      <c r="N56" s="989"/>
      <c r="O56" s="989"/>
      <c r="P56" s="989"/>
      <c r="Q56" s="989"/>
      <c r="R56" s="989"/>
      <c r="S56" s="989"/>
      <c r="T56" s="989"/>
    </row>
    <row r="57" spans="1:20" ht="59.25" customHeight="1" x14ac:dyDescent="0.35">
      <c r="A57" s="860"/>
      <c r="B57" s="2113" t="s">
        <v>2209</v>
      </c>
      <c r="C57" s="2114"/>
      <c r="D57" s="2114"/>
      <c r="E57" s="2115"/>
      <c r="F57" s="1137"/>
      <c r="G57" s="2107"/>
      <c r="H57" s="2108"/>
      <c r="I57" s="2109"/>
      <c r="J57" s="860"/>
      <c r="K57" s="860"/>
      <c r="L57" s="989"/>
      <c r="M57" s="989"/>
      <c r="N57" s="989"/>
      <c r="O57" s="989"/>
      <c r="P57" s="989"/>
      <c r="Q57" s="989"/>
      <c r="R57" s="989"/>
      <c r="S57" s="989"/>
      <c r="T57" s="989"/>
    </row>
    <row r="58" spans="1:20" ht="59.25" customHeight="1" x14ac:dyDescent="0.35">
      <c r="A58" s="860"/>
      <c r="B58" s="2110" t="s">
        <v>2210</v>
      </c>
      <c r="C58" s="2111"/>
      <c r="D58" s="2111"/>
      <c r="E58" s="2112"/>
      <c r="F58" s="1137"/>
      <c r="G58" s="2107"/>
      <c r="H58" s="2108"/>
      <c r="I58" s="2109"/>
      <c r="J58" s="860"/>
      <c r="K58" s="860"/>
      <c r="L58" s="989"/>
      <c r="M58" s="989"/>
      <c r="N58" s="989"/>
      <c r="O58" s="989"/>
      <c r="P58" s="989"/>
      <c r="Q58" s="989"/>
      <c r="R58" s="989"/>
      <c r="S58" s="989"/>
      <c r="T58" s="989"/>
    </row>
    <row r="59" spans="1:20" ht="95.25" customHeight="1" x14ac:dyDescent="0.35">
      <c r="A59" s="860"/>
      <c r="B59" s="2104" t="s">
        <v>2211</v>
      </c>
      <c r="C59" s="2105"/>
      <c r="D59" s="2105"/>
      <c r="E59" s="2106"/>
      <c r="F59" s="1137"/>
      <c r="G59" s="2107"/>
      <c r="H59" s="2108"/>
      <c r="I59" s="2109"/>
      <c r="J59" s="860"/>
      <c r="K59" s="860"/>
      <c r="L59" s="989"/>
      <c r="M59" s="989"/>
      <c r="N59" s="989"/>
      <c r="O59" s="989"/>
      <c r="P59" s="989"/>
      <c r="Q59" s="989"/>
      <c r="R59" s="989"/>
      <c r="S59" s="989"/>
      <c r="T59" s="989"/>
    </row>
    <row r="60" spans="1:20" ht="55.5" customHeight="1" x14ac:dyDescent="0.35">
      <c r="A60" s="860"/>
      <c r="B60" s="2110" t="s">
        <v>2212</v>
      </c>
      <c r="C60" s="2111"/>
      <c r="D60" s="2111"/>
      <c r="E60" s="2112"/>
      <c r="F60" s="1137"/>
      <c r="G60" s="2107"/>
      <c r="H60" s="2108"/>
      <c r="I60" s="2109"/>
      <c r="J60" s="860"/>
      <c r="K60" s="860"/>
      <c r="L60" s="989"/>
      <c r="M60" s="989"/>
      <c r="N60" s="989"/>
      <c r="O60" s="989"/>
      <c r="P60" s="989"/>
      <c r="Q60" s="989"/>
      <c r="R60" s="989"/>
      <c r="S60" s="989"/>
      <c r="T60" s="989"/>
    </row>
    <row r="61" spans="1:20" ht="48.75" customHeight="1" x14ac:dyDescent="0.35">
      <c r="A61" s="860"/>
      <c r="B61" s="2110" t="s">
        <v>2213</v>
      </c>
      <c r="C61" s="2111"/>
      <c r="D61" s="2111"/>
      <c r="E61" s="2112"/>
      <c r="F61" s="1137"/>
      <c r="G61" s="2107"/>
      <c r="H61" s="2108"/>
      <c r="I61" s="2109"/>
      <c r="J61" s="860"/>
      <c r="K61" s="860"/>
      <c r="L61" s="989"/>
      <c r="M61" s="989"/>
      <c r="N61" s="989"/>
      <c r="O61" s="989"/>
      <c r="P61" s="989"/>
      <c r="Q61" s="989"/>
      <c r="R61" s="989"/>
      <c r="S61" s="989"/>
      <c r="T61" s="989"/>
    </row>
    <row r="62" spans="1:20" ht="113.25" customHeight="1" x14ac:dyDescent="0.35">
      <c r="A62" s="860"/>
      <c r="B62" s="2110" t="s">
        <v>2214</v>
      </c>
      <c r="C62" s="2111"/>
      <c r="D62" s="2111"/>
      <c r="E62" s="2112"/>
      <c r="F62" s="1138"/>
      <c r="G62" s="2107"/>
      <c r="H62" s="2108"/>
      <c r="I62" s="2109"/>
      <c r="J62" s="860"/>
      <c r="K62" s="860"/>
      <c r="L62" s="989"/>
      <c r="M62" s="989"/>
      <c r="N62" s="989"/>
      <c r="O62" s="989"/>
      <c r="P62" s="989"/>
      <c r="Q62" s="989"/>
      <c r="R62" s="989"/>
      <c r="S62" s="989"/>
      <c r="T62" s="989"/>
    </row>
    <row r="63" spans="1:20" ht="78" customHeight="1" thickBot="1" x14ac:dyDescent="0.4">
      <c r="A63" s="860"/>
      <c r="B63" s="2096" t="s">
        <v>2215</v>
      </c>
      <c r="C63" s="2097"/>
      <c r="D63" s="2097"/>
      <c r="E63" s="2098"/>
      <c r="F63" s="1139"/>
      <c r="G63" s="2099"/>
      <c r="H63" s="2100"/>
      <c r="I63" s="2101"/>
      <c r="J63" s="860"/>
      <c r="K63" s="860"/>
      <c r="L63" s="989"/>
      <c r="M63" s="989"/>
      <c r="N63" s="989"/>
      <c r="O63" s="989"/>
      <c r="P63" s="989"/>
      <c r="Q63" s="989"/>
      <c r="R63" s="989"/>
      <c r="S63" s="989"/>
      <c r="T63" s="989"/>
    </row>
    <row r="64" spans="1:20" x14ac:dyDescent="0.35">
      <c r="A64" s="860"/>
      <c r="B64" s="860"/>
      <c r="C64" s="860"/>
      <c r="D64" s="860"/>
      <c r="E64" s="860"/>
      <c r="F64" s="860"/>
      <c r="G64" s="860"/>
      <c r="H64" s="860"/>
      <c r="I64" s="860"/>
      <c r="J64" s="860"/>
      <c r="K64" s="860"/>
      <c r="L64" s="989"/>
      <c r="M64" s="989"/>
      <c r="N64" s="989"/>
      <c r="O64" s="989"/>
      <c r="P64" s="989"/>
      <c r="Q64" s="989"/>
      <c r="R64" s="989"/>
      <c r="S64" s="989"/>
      <c r="T64" s="989"/>
    </row>
    <row r="65" spans="1:20" x14ac:dyDescent="0.35">
      <c r="A65" s="860"/>
      <c r="B65" s="860"/>
      <c r="C65" s="860"/>
      <c r="D65" s="860"/>
      <c r="E65" s="860"/>
      <c r="F65" s="860"/>
      <c r="G65" s="860"/>
      <c r="H65" s="860"/>
      <c r="I65" s="860"/>
      <c r="J65" s="860"/>
      <c r="K65" s="860"/>
      <c r="L65" s="989"/>
      <c r="M65" s="989"/>
      <c r="N65" s="989"/>
      <c r="O65" s="989"/>
      <c r="P65" s="989"/>
      <c r="Q65" s="989"/>
      <c r="R65" s="989"/>
      <c r="S65" s="989"/>
      <c r="T65" s="989"/>
    </row>
    <row r="66" spans="1:20" ht="15" thickBot="1" x14ac:dyDescent="0.4">
      <c r="A66" s="860"/>
      <c r="B66" s="860"/>
      <c r="C66" s="860"/>
      <c r="D66" s="860"/>
      <c r="E66" s="860"/>
      <c r="F66" s="860"/>
      <c r="G66" s="860"/>
      <c r="H66" s="860"/>
      <c r="I66" s="860"/>
      <c r="J66" s="860"/>
      <c r="K66" s="860"/>
      <c r="L66" s="989"/>
      <c r="M66" s="989"/>
      <c r="N66" s="989"/>
      <c r="O66" s="989"/>
      <c r="P66" s="989"/>
      <c r="Q66" s="989"/>
      <c r="R66" s="989"/>
      <c r="S66" s="989"/>
      <c r="T66" s="989"/>
    </row>
    <row r="67" spans="1:20" ht="15" thickBot="1" x14ac:dyDescent="0.4">
      <c r="A67" s="860"/>
      <c r="B67" s="2163" t="s">
        <v>2216</v>
      </c>
      <c r="C67" s="2164"/>
      <c r="D67" s="2164"/>
      <c r="E67" s="2164"/>
      <c r="F67" s="2164"/>
      <c r="G67" s="2164"/>
      <c r="H67" s="2164"/>
      <c r="I67" s="2164"/>
      <c r="J67" s="2164"/>
      <c r="K67" s="2164"/>
      <c r="L67" s="2164"/>
      <c r="M67" s="2164"/>
      <c r="N67" s="2164"/>
      <c r="O67" s="2164"/>
      <c r="P67" s="2164"/>
      <c r="Q67" s="2164"/>
      <c r="R67" s="2164"/>
      <c r="S67" s="2165"/>
      <c r="T67" s="989"/>
    </row>
    <row r="68" spans="1:20" x14ac:dyDescent="0.35">
      <c r="A68" s="860"/>
      <c r="B68" s="950" t="s">
        <v>2217</v>
      </c>
      <c r="C68" s="860"/>
      <c r="D68" s="860"/>
      <c r="E68" s="860"/>
      <c r="F68" s="860"/>
      <c r="G68" s="860"/>
      <c r="H68" s="860"/>
      <c r="I68" s="860"/>
      <c r="J68" s="860"/>
      <c r="K68" s="860"/>
      <c r="L68" s="989"/>
      <c r="M68" s="989"/>
      <c r="N68" s="989"/>
      <c r="O68" s="989"/>
      <c r="P68" s="989"/>
      <c r="Q68" s="989"/>
      <c r="R68" s="989"/>
      <c r="S68" s="989"/>
      <c r="T68" s="989"/>
    </row>
    <row r="69" spans="1:20" x14ac:dyDescent="0.35">
      <c r="A69" s="860"/>
      <c r="B69" s="951" t="e">
        <f>+CONCATENATE("Il valore minimo rendicontabile per è pari ad € ",TEXT(K17*0.1,"#.##0,00")," ed il valore delle fatture non quietanzate non può essere superiore ad € ",TEXT(K17*0.2,"#.##0,00"))</f>
        <v>#VALUE!</v>
      </c>
      <c r="C69" s="951"/>
      <c r="D69" s="951"/>
      <c r="E69" s="951"/>
      <c r="F69" s="951"/>
      <c r="G69" s="951"/>
      <c r="H69" s="951"/>
      <c r="I69" s="951"/>
      <c r="J69" s="951"/>
      <c r="K69" s="951"/>
      <c r="L69" s="989"/>
      <c r="M69" s="989"/>
      <c r="N69" s="989"/>
      <c r="O69" s="989"/>
      <c r="P69" s="989"/>
      <c r="Q69" s="989"/>
      <c r="R69" s="989"/>
      <c r="S69" s="989"/>
      <c r="T69" s="989"/>
    </row>
    <row r="70" spans="1:20" ht="15" thickBot="1" x14ac:dyDescent="0.4">
      <c r="A70" s="860"/>
      <c r="B70" s="950"/>
      <c r="C70" s="860"/>
      <c r="D70" s="860"/>
      <c r="E70" s="860"/>
      <c r="F70" s="860"/>
      <c r="G70" s="860"/>
      <c r="H70" s="860"/>
      <c r="I70" s="860"/>
      <c r="J70" s="860"/>
      <c r="K70" s="860"/>
      <c r="L70" s="989"/>
      <c r="M70" s="989"/>
      <c r="N70" s="989"/>
      <c r="O70" s="989"/>
      <c r="P70" s="989"/>
      <c r="Q70" s="989"/>
      <c r="R70" s="989"/>
      <c r="S70" s="989"/>
      <c r="T70" s="989"/>
    </row>
    <row r="71" spans="1:20" ht="23.5" thickBot="1" x14ac:dyDescent="0.4">
      <c r="A71" s="860"/>
      <c r="B71" s="993" t="s">
        <v>2218</v>
      </c>
      <c r="C71" s="952" t="s">
        <v>2219</v>
      </c>
      <c r="D71" s="952" t="s">
        <v>2220</v>
      </c>
      <c r="E71" s="952" t="s">
        <v>2221</v>
      </c>
      <c r="F71" s="952" t="s">
        <v>2222</v>
      </c>
      <c r="G71" s="952" t="s">
        <v>2223</v>
      </c>
      <c r="H71" s="974" t="s">
        <v>2224</v>
      </c>
      <c r="I71" s="974" t="s">
        <v>2225</v>
      </c>
      <c r="J71" s="994" t="s">
        <v>2067</v>
      </c>
      <c r="K71" s="952" t="s">
        <v>2226</v>
      </c>
      <c r="L71" s="974" t="s">
        <v>2069</v>
      </c>
      <c r="M71" s="974" t="s">
        <v>2227</v>
      </c>
      <c r="N71" s="974" t="s">
        <v>2228</v>
      </c>
      <c r="O71" s="974" t="s">
        <v>2229</v>
      </c>
      <c r="P71" s="974" t="s">
        <v>2230</v>
      </c>
      <c r="Q71" s="1113" t="s">
        <v>2231</v>
      </c>
      <c r="R71" s="2180" t="s">
        <v>574</v>
      </c>
      <c r="S71" s="2181"/>
      <c r="T71" s="989"/>
    </row>
    <row r="72" spans="1:20" ht="35.25" customHeight="1" x14ac:dyDescent="0.35">
      <c r="A72" s="860"/>
      <c r="B72" s="953"/>
      <c r="C72" s="954"/>
      <c r="D72" s="955"/>
      <c r="E72" s="954"/>
      <c r="F72" s="957"/>
      <c r="G72" s="956"/>
      <c r="H72" s="1020"/>
      <c r="I72" s="985"/>
      <c r="J72" s="1059" t="s">
        <v>589</v>
      </c>
      <c r="K72" s="995"/>
      <c r="L72" s="985"/>
      <c r="M72" s="985"/>
      <c r="N72" s="985"/>
      <c r="O72" s="985"/>
      <c r="P72" s="985"/>
      <c r="Q72" s="985"/>
      <c r="R72" s="2188"/>
      <c r="S72" s="2189"/>
      <c r="T72" s="989"/>
    </row>
    <row r="73" spans="1:20" ht="51" customHeight="1" x14ac:dyDescent="0.35">
      <c r="A73" s="860"/>
      <c r="B73" s="1005"/>
      <c r="C73" s="992"/>
      <c r="D73" s="1006"/>
      <c r="E73" s="992"/>
      <c r="F73" s="995"/>
      <c r="G73" s="1007"/>
      <c r="H73" s="1021"/>
      <c r="I73" s="1008"/>
      <c r="J73" s="1060" t="s">
        <v>579</v>
      </c>
      <c r="K73" s="995"/>
      <c r="L73" s="1008"/>
      <c r="M73" s="1008"/>
      <c r="N73" s="1008"/>
      <c r="O73" s="1008"/>
      <c r="P73" s="1008"/>
      <c r="Q73" s="1008"/>
      <c r="R73" s="2190"/>
      <c r="S73" s="2191"/>
      <c r="T73" s="989"/>
    </row>
    <row r="74" spans="1:20" ht="51" customHeight="1" x14ac:dyDescent="0.35">
      <c r="A74" s="860"/>
      <c r="B74" s="1005"/>
      <c r="C74" s="992"/>
      <c r="D74" s="1006"/>
      <c r="E74" s="992"/>
      <c r="F74" s="995"/>
      <c r="G74" s="1007"/>
      <c r="H74" s="1021"/>
      <c r="I74" s="1008"/>
      <c r="J74" s="1060" t="s">
        <v>598</v>
      </c>
      <c r="K74" s="995"/>
      <c r="L74" s="1008"/>
      <c r="M74" s="1008"/>
      <c r="N74" s="1008"/>
      <c r="O74" s="1008"/>
      <c r="P74" s="1008"/>
      <c r="Q74" s="1008"/>
      <c r="R74" s="2190"/>
      <c r="S74" s="2191"/>
      <c r="T74" s="989"/>
    </row>
    <row r="75" spans="1:20" ht="75.75" customHeight="1" thickBot="1" x14ac:dyDescent="0.4">
      <c r="A75" s="860"/>
      <c r="B75" s="1005"/>
      <c r="C75" s="992"/>
      <c r="D75" s="1006"/>
      <c r="E75" s="992"/>
      <c r="F75" s="995"/>
      <c r="G75" s="1007"/>
      <c r="H75" s="1021"/>
      <c r="I75" s="1008"/>
      <c r="J75" s="1060" t="s">
        <v>585</v>
      </c>
      <c r="K75" s="995"/>
      <c r="L75" s="1008"/>
      <c r="M75" s="1008"/>
      <c r="N75" s="1008"/>
      <c r="O75" s="1008"/>
      <c r="P75" s="1008"/>
      <c r="Q75" s="1008"/>
      <c r="R75" s="2192"/>
      <c r="S75" s="2193"/>
      <c r="T75" s="989"/>
    </row>
    <row r="76" spans="1:20" ht="15" thickBot="1" x14ac:dyDescent="0.4">
      <c r="A76" s="860"/>
      <c r="B76" s="968"/>
      <c r="C76" s="969"/>
      <c r="D76" s="969"/>
      <c r="E76" s="981"/>
      <c r="F76" s="1029">
        <f>SUM(F72:F75)</f>
        <v>0</v>
      </c>
      <c r="G76" s="1029">
        <f>SUM(G72:G75)</f>
        <v>0</v>
      </c>
      <c r="H76" s="1029">
        <f>SUM(H72:H75)</f>
        <v>0</v>
      </c>
      <c r="I76" s="1030"/>
      <c r="J76" s="974"/>
      <c r="K76" s="1029">
        <f>+SUM(K72:K75)</f>
        <v>0</v>
      </c>
      <c r="L76" s="1030">
        <f>+SUM(L72:L75)</f>
        <v>0</v>
      </c>
      <c r="M76" s="991"/>
      <c r="N76" s="991"/>
      <c r="O76" s="991"/>
      <c r="P76" s="991"/>
      <c r="Q76" s="991"/>
      <c r="R76" s="2178"/>
      <c r="S76" s="2179"/>
      <c r="T76" s="989"/>
    </row>
    <row r="77" spans="1:20" x14ac:dyDescent="0.35">
      <c r="A77" s="860"/>
      <c r="B77" s="860"/>
      <c r="C77" s="860"/>
      <c r="D77" s="860"/>
      <c r="E77" s="860"/>
      <c r="F77" s="860"/>
      <c r="G77" s="860"/>
      <c r="H77" s="860"/>
      <c r="I77" s="860"/>
      <c r="J77" s="860"/>
      <c r="K77" s="860"/>
      <c r="L77" s="989"/>
      <c r="M77" s="989"/>
      <c r="N77" s="989"/>
      <c r="O77" s="989"/>
      <c r="P77" s="989"/>
      <c r="Q77" s="989"/>
      <c r="R77" s="989"/>
      <c r="S77" s="989"/>
      <c r="T77" s="989"/>
    </row>
    <row r="78" spans="1:20" ht="15" thickBot="1" x14ac:dyDescent="0.4">
      <c r="A78" s="860"/>
      <c r="B78" s="998" t="s">
        <v>2232</v>
      </c>
      <c r="C78" s="860"/>
      <c r="D78" s="860"/>
      <c r="E78" s="860"/>
      <c r="F78" s="860"/>
      <c r="G78" s="860"/>
      <c r="H78" s="860"/>
      <c r="I78" s="860"/>
      <c r="J78" s="860"/>
      <c r="K78" s="860"/>
      <c r="L78" s="989"/>
      <c r="M78" s="989"/>
      <c r="N78" s="989"/>
      <c r="O78" s="989"/>
      <c r="P78" s="989"/>
      <c r="Q78" s="989"/>
      <c r="R78" s="989"/>
      <c r="S78" s="989"/>
      <c r="T78" s="989"/>
    </row>
    <row r="79" spans="1:20" x14ac:dyDescent="0.35">
      <c r="A79" s="860"/>
      <c r="B79" s="2169"/>
      <c r="C79" s="2170"/>
      <c r="D79" s="2170"/>
      <c r="E79" s="2170"/>
      <c r="F79" s="2170"/>
      <c r="G79" s="2170"/>
      <c r="H79" s="2170"/>
      <c r="I79" s="2170"/>
      <c r="J79" s="2170"/>
      <c r="K79" s="2170"/>
      <c r="L79" s="2170"/>
      <c r="M79" s="2170"/>
      <c r="N79" s="2170"/>
      <c r="O79" s="2170"/>
      <c r="P79" s="2170"/>
      <c r="Q79" s="2170"/>
      <c r="R79" s="2170"/>
      <c r="S79" s="2171"/>
      <c r="T79" s="989"/>
    </row>
    <row r="80" spans="1:20" x14ac:dyDescent="0.35">
      <c r="A80" s="860"/>
      <c r="B80" s="2172"/>
      <c r="C80" s="2173"/>
      <c r="D80" s="2173"/>
      <c r="E80" s="2173"/>
      <c r="F80" s="2173"/>
      <c r="G80" s="2173"/>
      <c r="H80" s="2173"/>
      <c r="I80" s="2173"/>
      <c r="J80" s="2173"/>
      <c r="K80" s="2173"/>
      <c r="L80" s="2173"/>
      <c r="M80" s="2173"/>
      <c r="N80" s="2173"/>
      <c r="O80" s="2173"/>
      <c r="P80" s="2173"/>
      <c r="Q80" s="2173"/>
      <c r="R80" s="2173"/>
      <c r="S80" s="2174"/>
      <c r="T80" s="989"/>
    </row>
    <row r="81" spans="1:20" x14ac:dyDescent="0.35">
      <c r="A81" s="860"/>
      <c r="B81" s="2172"/>
      <c r="C81" s="2173"/>
      <c r="D81" s="2173"/>
      <c r="E81" s="2173"/>
      <c r="F81" s="2173"/>
      <c r="G81" s="2173"/>
      <c r="H81" s="2173"/>
      <c r="I81" s="2173"/>
      <c r="J81" s="2173"/>
      <c r="K81" s="2173"/>
      <c r="L81" s="2173"/>
      <c r="M81" s="2173"/>
      <c r="N81" s="2173"/>
      <c r="O81" s="2173"/>
      <c r="P81" s="2173"/>
      <c r="Q81" s="2173"/>
      <c r="R81" s="2173"/>
      <c r="S81" s="2174"/>
      <c r="T81" s="989"/>
    </row>
    <row r="82" spans="1:20" x14ac:dyDescent="0.35">
      <c r="A82" s="860"/>
      <c r="B82" s="2172"/>
      <c r="C82" s="2173"/>
      <c r="D82" s="2173"/>
      <c r="E82" s="2173"/>
      <c r="F82" s="2173"/>
      <c r="G82" s="2173"/>
      <c r="H82" s="2173"/>
      <c r="I82" s="2173"/>
      <c r="J82" s="2173"/>
      <c r="K82" s="2173"/>
      <c r="L82" s="2173"/>
      <c r="M82" s="2173"/>
      <c r="N82" s="2173"/>
      <c r="O82" s="2173"/>
      <c r="P82" s="2173"/>
      <c r="Q82" s="2173"/>
      <c r="R82" s="2173"/>
      <c r="S82" s="2174"/>
      <c r="T82" s="989"/>
    </row>
    <row r="83" spans="1:20" ht="15" thickBot="1" x14ac:dyDescent="0.4">
      <c r="A83" s="860"/>
      <c r="B83" s="2166"/>
      <c r="C83" s="2167"/>
      <c r="D83" s="2167"/>
      <c r="E83" s="2167"/>
      <c r="F83" s="2167"/>
      <c r="G83" s="2167"/>
      <c r="H83" s="2167"/>
      <c r="I83" s="2167"/>
      <c r="J83" s="2167"/>
      <c r="K83" s="2167"/>
      <c r="L83" s="2167"/>
      <c r="M83" s="2167"/>
      <c r="N83" s="2167"/>
      <c r="O83" s="2167"/>
      <c r="P83" s="2167"/>
      <c r="Q83" s="2167"/>
      <c r="R83" s="2167"/>
      <c r="S83" s="2168"/>
      <c r="T83" s="989"/>
    </row>
    <row r="84" spans="1:20" ht="15" thickBot="1" x14ac:dyDescent="0.4">
      <c r="A84" s="860"/>
      <c r="B84" s="860"/>
      <c r="C84" s="860"/>
      <c r="D84" s="860"/>
      <c r="E84" s="860"/>
      <c r="F84" s="860"/>
      <c r="G84" s="860"/>
      <c r="H84" s="860"/>
      <c r="I84" s="860"/>
      <c r="J84" s="860"/>
      <c r="K84" s="860"/>
      <c r="L84" s="989"/>
      <c r="M84" s="989"/>
      <c r="N84" s="989"/>
      <c r="O84" s="989"/>
      <c r="P84" s="989"/>
      <c r="Q84" s="989"/>
      <c r="R84" s="989"/>
      <c r="S84" s="989"/>
      <c r="T84" s="989"/>
    </row>
    <row r="85" spans="1:20" ht="15" thickBot="1" x14ac:dyDescent="0.4">
      <c r="A85" s="860"/>
      <c r="B85" s="970" t="s">
        <v>2233</v>
      </c>
      <c r="C85" s="971"/>
      <c r="D85" s="972"/>
      <c r="E85" s="973"/>
      <c r="F85" s="1031" t="str">
        <f>+IF(AND(E85="Si",Anagrafica!$C$31=0),"Non è prevista la spesa per capitale circolante netto","")</f>
        <v/>
      </c>
      <c r="G85" s="860"/>
      <c r="H85" s="860"/>
      <c r="I85" s="860"/>
      <c r="J85" s="860"/>
      <c r="K85" s="860"/>
      <c r="L85" s="989"/>
      <c r="M85" s="989"/>
      <c r="N85" s="989"/>
      <c r="O85" s="989"/>
      <c r="P85" s="989"/>
      <c r="Q85" s="989"/>
      <c r="R85" s="989"/>
      <c r="S85" s="989"/>
      <c r="T85" s="989"/>
    </row>
    <row r="86" spans="1:20" ht="15" thickBot="1" x14ac:dyDescent="0.4">
      <c r="A86" s="860"/>
      <c r="B86" s="2175" t="s">
        <v>2234</v>
      </c>
      <c r="C86" s="2176"/>
      <c r="D86" s="2177"/>
      <c r="E86" s="1026"/>
      <c r="F86" s="860"/>
      <c r="G86" s="860"/>
      <c r="H86" s="860"/>
      <c r="I86" s="860"/>
      <c r="J86" s="860"/>
      <c r="K86" s="860"/>
      <c r="L86" s="989"/>
      <c r="M86" s="989"/>
      <c r="N86" s="989"/>
      <c r="O86" s="989"/>
      <c r="P86" s="989"/>
      <c r="Q86" s="989"/>
      <c r="R86" s="989"/>
      <c r="S86" s="989"/>
      <c r="T86" s="989"/>
    </row>
    <row r="87" spans="1:20" ht="15" thickBot="1" x14ac:dyDescent="0.4">
      <c r="A87" s="860"/>
      <c r="B87" s="2175" t="s">
        <v>2235</v>
      </c>
      <c r="C87" s="2176"/>
      <c r="D87" s="2177"/>
      <c r="E87" s="1120">
        <f>+IF($E$85="NO",0,IF(E86&lt;=L76*0.2,E86,(E86/F76)*L76))</f>
        <v>0</v>
      </c>
      <c r="F87" s="860"/>
      <c r="G87" s="860"/>
      <c r="H87" s="860"/>
      <c r="I87" s="860"/>
      <c r="J87" s="860"/>
      <c r="K87" s="860"/>
      <c r="L87" s="989"/>
      <c r="M87" s="989"/>
      <c r="N87" s="989"/>
      <c r="O87" s="989"/>
      <c r="P87" s="989"/>
      <c r="Q87" s="989"/>
      <c r="R87" s="989"/>
      <c r="S87" s="989"/>
      <c r="T87" s="989"/>
    </row>
    <row r="88" spans="1:20" x14ac:dyDescent="0.35">
      <c r="A88" s="860"/>
      <c r="B88" s="860"/>
      <c r="C88" s="860"/>
      <c r="D88" s="860"/>
      <c r="E88" s="860"/>
      <c r="F88" s="860"/>
      <c r="G88" s="860"/>
      <c r="H88" s="860"/>
      <c r="I88" s="860"/>
      <c r="J88" s="860"/>
      <c r="K88" s="860"/>
      <c r="L88" s="989"/>
      <c r="M88" s="989"/>
      <c r="N88" s="989"/>
      <c r="O88" s="989"/>
      <c r="P88" s="989"/>
      <c r="Q88" s="989"/>
      <c r="R88" s="989"/>
      <c r="S88" s="989"/>
      <c r="T88" s="989"/>
    </row>
    <row r="89" spans="1:20" ht="15" thickBot="1" x14ac:dyDescent="0.4">
      <c r="A89" s="860"/>
      <c r="B89" s="950" t="s">
        <v>2236</v>
      </c>
      <c r="C89" s="860"/>
      <c r="D89" s="860"/>
      <c r="E89" s="860"/>
      <c r="F89" s="860"/>
      <c r="G89" s="860"/>
      <c r="H89" s="860"/>
      <c r="I89" s="860"/>
      <c r="J89" s="860"/>
      <c r="K89" s="989"/>
      <c r="L89" s="989"/>
      <c r="M89" s="989"/>
      <c r="N89" s="989"/>
      <c r="O89" s="989"/>
      <c r="P89" s="989"/>
      <c r="Q89" s="989"/>
      <c r="R89" s="989"/>
      <c r="S89" s="989"/>
      <c r="T89" s="989"/>
    </row>
    <row r="90" spans="1:20" ht="23.5" thickBot="1" x14ac:dyDescent="0.4">
      <c r="A90" s="860"/>
      <c r="B90" s="993" t="s">
        <v>2218</v>
      </c>
      <c r="C90" s="952" t="s">
        <v>2219</v>
      </c>
      <c r="D90" s="952" t="s">
        <v>2220</v>
      </c>
      <c r="E90" s="974" t="s">
        <v>2237</v>
      </c>
      <c r="F90" s="952" t="s">
        <v>2238</v>
      </c>
      <c r="G90" s="974" t="s">
        <v>2239</v>
      </c>
      <c r="H90" s="974" t="s">
        <v>2240</v>
      </c>
      <c r="I90" s="974" t="s">
        <v>2241</v>
      </c>
      <c r="J90" s="2180" t="s">
        <v>574</v>
      </c>
      <c r="K90" s="2181"/>
      <c r="L90" s="989"/>
      <c r="M90" s="989"/>
      <c r="N90" s="989"/>
      <c r="O90" s="989"/>
      <c r="P90" s="989"/>
      <c r="Q90" s="989"/>
      <c r="R90" s="989"/>
      <c r="S90" s="989"/>
      <c r="T90" s="989"/>
    </row>
    <row r="91" spans="1:20" x14ac:dyDescent="0.35">
      <c r="A91" s="860"/>
      <c r="B91" s="953"/>
      <c r="C91" s="954"/>
      <c r="D91" s="955"/>
      <c r="E91" s="975"/>
      <c r="F91" s="954"/>
      <c r="G91" s="980"/>
      <c r="H91" s="980"/>
      <c r="I91" s="980"/>
      <c r="J91" s="2182"/>
      <c r="K91" s="2183"/>
      <c r="L91" s="989"/>
      <c r="M91" s="989"/>
      <c r="N91" s="989"/>
      <c r="O91" s="989"/>
      <c r="P91" s="989"/>
      <c r="Q91" s="989"/>
      <c r="R91" s="989"/>
      <c r="S91" s="989"/>
      <c r="T91" s="989"/>
    </row>
    <row r="92" spans="1:20" x14ac:dyDescent="0.35">
      <c r="A92" s="860"/>
      <c r="B92" s="958"/>
      <c r="C92" s="959"/>
      <c r="D92" s="960"/>
      <c r="E92" s="976"/>
      <c r="F92" s="992"/>
      <c r="G92" s="959"/>
      <c r="H92" s="959"/>
      <c r="I92" s="959"/>
      <c r="J92" s="2184"/>
      <c r="K92" s="2185"/>
      <c r="L92" s="989"/>
      <c r="M92" s="989"/>
      <c r="N92" s="989"/>
      <c r="O92" s="989"/>
      <c r="P92" s="989"/>
      <c r="Q92" s="989"/>
      <c r="R92" s="989"/>
      <c r="S92" s="989"/>
      <c r="T92" s="989"/>
    </row>
    <row r="93" spans="1:20" ht="15" thickBot="1" x14ac:dyDescent="0.4">
      <c r="A93" s="860"/>
      <c r="B93" s="963"/>
      <c r="C93" s="964"/>
      <c r="D93" s="965"/>
      <c r="E93" s="977"/>
      <c r="F93" s="964"/>
      <c r="G93" s="984"/>
      <c r="H93" s="984"/>
      <c r="I93" s="984"/>
      <c r="J93" s="2186"/>
      <c r="K93" s="2187"/>
      <c r="L93" s="989"/>
      <c r="M93" s="989"/>
      <c r="N93" s="989"/>
      <c r="O93" s="989"/>
      <c r="P93" s="989"/>
      <c r="Q93" s="989"/>
      <c r="R93" s="989"/>
      <c r="S93" s="989"/>
      <c r="T93" s="989"/>
    </row>
    <row r="94" spans="1:20" ht="15" thickBot="1" x14ac:dyDescent="0.4">
      <c r="A94" s="860"/>
      <c r="B94" s="968"/>
      <c r="C94" s="969"/>
      <c r="D94" s="981"/>
      <c r="E94" s="982">
        <f>SUM(E91:E93)</f>
        <v>0</v>
      </c>
      <c r="F94" s="983"/>
      <c r="G94" s="981"/>
      <c r="H94" s="981"/>
      <c r="I94" s="981"/>
      <c r="J94" s="2180"/>
      <c r="K94" s="2181"/>
      <c r="L94" s="989"/>
      <c r="M94" s="989"/>
      <c r="N94" s="989"/>
      <c r="O94" s="989"/>
      <c r="P94" s="989"/>
      <c r="Q94" s="989"/>
      <c r="R94" s="989"/>
      <c r="S94" s="989"/>
      <c r="T94" s="989"/>
    </row>
    <row r="95" spans="1:20" x14ac:dyDescent="0.35">
      <c r="A95" s="860"/>
      <c r="B95" s="860"/>
      <c r="C95" s="860"/>
      <c r="D95" s="860"/>
      <c r="E95" s="860"/>
      <c r="F95" s="860"/>
      <c r="G95" s="860"/>
      <c r="H95" s="860"/>
      <c r="I95" s="860"/>
      <c r="J95" s="860"/>
      <c r="K95" s="860"/>
      <c r="L95" s="989"/>
      <c r="M95" s="989"/>
      <c r="N95" s="989"/>
      <c r="O95" s="989"/>
      <c r="P95" s="989"/>
      <c r="Q95" s="989"/>
      <c r="R95" s="989"/>
      <c r="S95" s="989"/>
      <c r="T95" s="989"/>
    </row>
    <row r="96" spans="1:20" ht="15" thickBot="1" x14ac:dyDescent="0.4">
      <c r="A96" s="860"/>
      <c r="B96" s="998" t="s">
        <v>2232</v>
      </c>
      <c r="C96" s="860"/>
      <c r="D96" s="860"/>
      <c r="E96" s="860"/>
      <c r="F96" s="860"/>
      <c r="G96" s="860"/>
      <c r="H96" s="860"/>
      <c r="I96" s="860"/>
      <c r="J96" s="860"/>
      <c r="K96" s="860"/>
      <c r="L96" s="989"/>
      <c r="M96" s="989"/>
      <c r="N96" s="989"/>
      <c r="O96" s="989"/>
      <c r="P96" s="989"/>
      <c r="Q96" s="989"/>
      <c r="R96" s="989"/>
      <c r="S96" s="989"/>
      <c r="T96" s="989"/>
    </row>
    <row r="97" spans="1:20" x14ac:dyDescent="0.35">
      <c r="A97" s="860"/>
      <c r="B97" s="2169"/>
      <c r="C97" s="2170"/>
      <c r="D97" s="2170"/>
      <c r="E97" s="2170"/>
      <c r="F97" s="2170"/>
      <c r="G97" s="2170"/>
      <c r="H97" s="2170"/>
      <c r="I97" s="2170"/>
      <c r="J97" s="2170"/>
      <c r="K97" s="2171"/>
      <c r="L97" s="989"/>
      <c r="M97" s="989"/>
      <c r="N97" s="989"/>
      <c r="O97" s="989"/>
      <c r="P97" s="989"/>
      <c r="Q97" s="989"/>
      <c r="R97" s="989"/>
      <c r="S97" s="989"/>
      <c r="T97" s="989"/>
    </row>
    <row r="98" spans="1:20" x14ac:dyDescent="0.35">
      <c r="A98" s="860"/>
      <c r="B98" s="2172"/>
      <c r="C98" s="2173"/>
      <c r="D98" s="2173"/>
      <c r="E98" s="2173"/>
      <c r="F98" s="2173"/>
      <c r="G98" s="2173"/>
      <c r="H98" s="2173"/>
      <c r="I98" s="2173"/>
      <c r="J98" s="2173"/>
      <c r="K98" s="2174"/>
      <c r="L98" s="989"/>
      <c r="M98" s="989"/>
      <c r="N98" s="989"/>
      <c r="O98" s="989"/>
      <c r="P98" s="989"/>
      <c r="Q98" s="989"/>
      <c r="R98" s="989"/>
      <c r="S98" s="989"/>
      <c r="T98" s="989"/>
    </row>
    <row r="99" spans="1:20" x14ac:dyDescent="0.35">
      <c r="A99" s="860"/>
      <c r="B99" s="2172"/>
      <c r="C99" s="2173"/>
      <c r="D99" s="2173"/>
      <c r="E99" s="2173"/>
      <c r="F99" s="2173"/>
      <c r="G99" s="2173"/>
      <c r="H99" s="2173"/>
      <c r="I99" s="2173"/>
      <c r="J99" s="2173"/>
      <c r="K99" s="2174"/>
      <c r="L99" s="989"/>
      <c r="M99" s="989"/>
      <c r="N99" s="989"/>
      <c r="O99" s="989"/>
      <c r="P99" s="989"/>
      <c r="Q99" s="989"/>
      <c r="R99" s="989"/>
      <c r="S99" s="989"/>
      <c r="T99" s="989"/>
    </row>
    <row r="100" spans="1:20" ht="15" thickBot="1" x14ac:dyDescent="0.4">
      <c r="A100" s="860"/>
      <c r="B100" s="2166"/>
      <c r="C100" s="2167"/>
      <c r="D100" s="2167"/>
      <c r="E100" s="2167"/>
      <c r="F100" s="2167"/>
      <c r="G100" s="2167"/>
      <c r="H100" s="2167"/>
      <c r="I100" s="2167"/>
      <c r="J100" s="2167"/>
      <c r="K100" s="2168"/>
      <c r="L100" s="989"/>
      <c r="M100" s="989"/>
      <c r="N100" s="989"/>
      <c r="O100" s="989"/>
      <c r="P100" s="989"/>
      <c r="Q100" s="989"/>
      <c r="R100" s="989"/>
      <c r="S100" s="989"/>
      <c r="T100" s="989"/>
    </row>
    <row r="101" spans="1:20" x14ac:dyDescent="0.35">
      <c r="A101" s="860"/>
      <c r="B101" s="978" t="s">
        <v>2242</v>
      </c>
      <c r="C101" s="860"/>
      <c r="D101" s="860"/>
      <c r="E101" s="860"/>
      <c r="F101" s="860"/>
      <c r="G101" s="860"/>
      <c r="H101" s="860"/>
      <c r="I101" s="860"/>
      <c r="J101" s="860"/>
      <c r="K101" s="860"/>
      <c r="L101" s="989"/>
      <c r="M101" s="989"/>
      <c r="N101" s="989"/>
      <c r="O101" s="989"/>
      <c r="P101" s="989"/>
      <c r="Q101" s="989"/>
      <c r="R101" s="989"/>
      <c r="S101" s="989"/>
      <c r="T101" s="989"/>
    </row>
    <row r="102" spans="1:20" ht="15" thickBot="1" x14ac:dyDescent="0.4">
      <c r="A102" s="860"/>
      <c r="B102" s="860"/>
      <c r="C102" s="860"/>
      <c r="D102" s="860"/>
      <c r="E102" s="860"/>
      <c r="F102" s="860"/>
      <c r="G102" s="860"/>
      <c r="H102" s="860"/>
      <c r="I102" s="860"/>
      <c r="J102" s="860"/>
      <c r="K102" s="860"/>
      <c r="L102" s="989"/>
      <c r="M102" s="989"/>
      <c r="N102" s="989"/>
      <c r="O102" s="989"/>
      <c r="P102" s="989"/>
      <c r="Q102" s="989"/>
      <c r="R102" s="989"/>
      <c r="S102" s="989"/>
      <c r="T102" s="989"/>
    </row>
    <row r="103" spans="1:20" ht="15" thickBot="1" x14ac:dyDescent="0.4">
      <c r="A103" s="860"/>
      <c r="B103" s="2163" t="s">
        <v>2243</v>
      </c>
      <c r="C103" s="2164"/>
      <c r="D103" s="2164"/>
      <c r="E103" s="2164"/>
      <c r="F103" s="2164"/>
      <c r="G103" s="2164"/>
      <c r="H103" s="2164"/>
      <c r="I103" s="2164"/>
      <c r="J103" s="2164"/>
      <c r="K103" s="2164"/>
      <c r="L103" s="2164"/>
      <c r="M103" s="2164"/>
      <c r="N103" s="2164"/>
      <c r="O103" s="2164"/>
      <c r="P103" s="2164"/>
      <c r="Q103" s="2164"/>
      <c r="R103" s="2164"/>
      <c r="S103" s="2165"/>
      <c r="T103" s="989"/>
    </row>
    <row r="104" spans="1:20" x14ac:dyDescent="0.35">
      <c r="A104" s="988"/>
      <c r="B104" s="988"/>
      <c r="C104" s="988"/>
      <c r="D104" s="988"/>
      <c r="E104" s="988"/>
      <c r="F104" s="988"/>
      <c r="G104" s="988"/>
      <c r="H104" s="988"/>
      <c r="I104" s="988"/>
      <c r="J104" s="988"/>
      <c r="K104" s="988"/>
      <c r="L104" s="989"/>
      <c r="M104" s="989"/>
      <c r="N104" s="989"/>
      <c r="O104" s="989"/>
      <c r="P104" s="989"/>
      <c r="Q104" s="989"/>
      <c r="R104" s="989"/>
      <c r="S104" s="989"/>
      <c r="T104" s="989"/>
    </row>
    <row r="105" spans="1:20" x14ac:dyDescent="0.35">
      <c r="A105" s="989"/>
      <c r="B105" s="990" t="s">
        <v>2244</v>
      </c>
      <c r="C105" s="989"/>
      <c r="D105" s="989"/>
      <c r="E105" s="989"/>
      <c r="F105" s="989"/>
      <c r="G105" s="989"/>
      <c r="H105" s="989"/>
      <c r="I105" s="989"/>
      <c r="J105" s="989"/>
      <c r="K105" s="989"/>
      <c r="L105" s="989"/>
      <c r="M105" s="989"/>
      <c r="N105" s="989"/>
      <c r="O105" s="989"/>
      <c r="P105" s="989"/>
      <c r="Q105" s="989"/>
      <c r="R105" s="989"/>
      <c r="S105" s="989"/>
      <c r="T105" s="989"/>
    </row>
    <row r="106" spans="1:20" x14ac:dyDescent="0.35">
      <c r="A106" s="989"/>
      <c r="B106" s="989"/>
      <c r="C106" s="989"/>
      <c r="D106" s="989"/>
      <c r="E106" s="989"/>
      <c r="F106" s="989"/>
      <c r="G106" s="989"/>
      <c r="H106" s="989"/>
      <c r="I106" s="989"/>
      <c r="J106" s="989"/>
      <c r="K106" s="989"/>
      <c r="L106" s="989"/>
      <c r="M106" s="989"/>
      <c r="N106" s="989"/>
      <c r="O106" s="989"/>
      <c r="P106" s="989"/>
      <c r="Q106" s="989"/>
      <c r="R106" s="989"/>
      <c r="S106" s="989"/>
      <c r="T106" s="989"/>
    </row>
    <row r="107" spans="1:20" ht="15" thickBot="1" x14ac:dyDescent="0.4">
      <c r="A107" s="989"/>
      <c r="B107" s="989"/>
      <c r="C107" s="989"/>
      <c r="D107" s="989"/>
      <c r="E107" s="989"/>
      <c r="F107" s="989"/>
      <c r="G107" s="989"/>
      <c r="H107" s="989"/>
      <c r="I107" s="989"/>
      <c r="J107" s="989"/>
      <c r="K107" s="989"/>
      <c r="L107" s="989"/>
      <c r="M107" s="989"/>
      <c r="N107" s="989"/>
      <c r="O107" s="989"/>
      <c r="P107" s="989"/>
      <c r="Q107" s="989"/>
      <c r="R107" s="989"/>
      <c r="S107" s="989"/>
      <c r="T107" s="989"/>
    </row>
    <row r="108" spans="1:20" ht="15" thickBot="1" x14ac:dyDescent="0.4">
      <c r="A108" s="989"/>
      <c r="B108" s="989"/>
      <c r="C108" s="2202" t="s">
        <v>2245</v>
      </c>
      <c r="D108" s="2203"/>
      <c r="E108" s="2204" t="s">
        <v>2246</v>
      </c>
      <c r="F108" s="2205"/>
      <c r="G108" s="2205"/>
      <c r="H108" s="2205"/>
      <c r="I108" s="2206"/>
      <c r="J108" s="989"/>
      <c r="K108" s="989"/>
      <c r="L108" s="989"/>
      <c r="M108" s="989"/>
      <c r="N108" s="989"/>
      <c r="O108" s="989"/>
      <c r="P108" s="989"/>
      <c r="Q108" s="989"/>
      <c r="R108" s="989"/>
      <c r="S108" s="989"/>
      <c r="T108" s="989"/>
    </row>
    <row r="109" spans="1:20" ht="23.5" thickBot="1" x14ac:dyDescent="0.4">
      <c r="A109" s="989"/>
      <c r="B109" s="1088" t="s">
        <v>2067</v>
      </c>
      <c r="C109" s="999" t="s">
        <v>2068</v>
      </c>
      <c r="D109" s="1081" t="s">
        <v>2069</v>
      </c>
      <c r="E109" s="1074" t="s">
        <v>2247</v>
      </c>
      <c r="F109" s="1000" t="s">
        <v>2226</v>
      </c>
      <c r="G109" s="1025" t="s">
        <v>2069</v>
      </c>
      <c r="H109" s="1000" t="s">
        <v>2248</v>
      </c>
      <c r="I109" s="1081" t="s">
        <v>2249</v>
      </c>
      <c r="J109" s="1081" t="s">
        <v>2250</v>
      </c>
      <c r="K109" s="989"/>
      <c r="L109" s="989"/>
      <c r="M109" s="989"/>
      <c r="N109" s="989"/>
      <c r="O109" s="989"/>
      <c r="P109" s="989"/>
      <c r="Q109" s="989"/>
      <c r="R109" s="989"/>
      <c r="S109" s="989"/>
      <c r="T109" s="989"/>
    </row>
    <row r="110" spans="1:20" ht="38.25" customHeight="1" x14ac:dyDescent="0.35">
      <c r="A110" s="989"/>
      <c r="B110" s="1089" t="str">
        <f>+IF(Anagrafica!$G$2="Capo II","Opere murarie e assimilate","Acquisto immobile sede dell'attività")</f>
        <v>Acquisto immobile sede dell'attività</v>
      </c>
      <c r="C110" s="1101">
        <f ca="1">+Anagrafica!I30</f>
        <v>0</v>
      </c>
      <c r="D110" s="1102">
        <f ca="1">+Anagrafica!J30</f>
        <v>0</v>
      </c>
      <c r="E110" s="1098" t="e" cm="1">
        <f t="array" aca="1" ref="E110" ca="1">+SUMIF(Categoriesal1,B110,Imponibilesal1)</f>
        <v>#REF!</v>
      </c>
      <c r="F110" s="1009" t="e" cm="1">
        <f t="array" aca="1" ref="F110" ca="1">+SUMIF(Categoriesal1,B110,Realizzatosal1)</f>
        <v>#REF!</v>
      </c>
      <c r="G110" s="1009" t="e" cm="1">
        <f t="array" aca="1" ref="G110" ca="1">+SUMIF(Categoriesal1,B110,Ammessosal1)</f>
        <v>#REF!</v>
      </c>
      <c r="H110" s="1009" t="str">
        <f ca="1">IFERROR(+G110*Anagrafica!$F$38,"")</f>
        <v/>
      </c>
      <c r="I110" s="1015">
        <v>0</v>
      </c>
      <c r="J110" s="1110" t="e">
        <f t="shared" ref="J110:J115" ca="1" si="0">+IF(C110-F110&lt;0,0,C110-F110)</f>
        <v>#REF!</v>
      </c>
      <c r="K110" s="989"/>
      <c r="L110" s="1018"/>
      <c r="M110" s="989"/>
      <c r="N110" s="989"/>
      <c r="O110" s="989"/>
      <c r="P110" s="989"/>
      <c r="Q110" s="989"/>
      <c r="S110" s="989"/>
      <c r="T110" s="989"/>
    </row>
    <row r="111" spans="1:20" ht="41.25" customHeight="1" x14ac:dyDescent="0.35">
      <c r="A111" s="989"/>
      <c r="B111" s="1090" t="str">
        <f>+IF(Anagrafica!$G$2="Capo II","Macchinari, impianti ed attrezzature","Opere murarie e assimilate")</f>
        <v>Opere murarie e assimilate</v>
      </c>
      <c r="C111" s="1103">
        <f ca="1">+Anagrafica!I31</f>
        <v>0</v>
      </c>
      <c r="D111" s="1016">
        <f>+Anagrafica!J31</f>
        <v>0</v>
      </c>
      <c r="E111" s="1098" cm="1">
        <f t="array" aca="1" ref="E111" ca="1">IFERROR(+SUMIF(Categoriesal1,B111,Imponibilesal1),0)</f>
        <v>0</v>
      </c>
      <c r="F111" s="1010" t="e" cm="1">
        <f t="array" aca="1" ref="F111" ca="1">+SUMIF(Categoriesal1,B111,Realizzatosal1)</f>
        <v>#REF!</v>
      </c>
      <c r="G111" s="1010" t="e" cm="1">
        <f t="array" aca="1" ref="G111" ca="1">+SUMIF(Categoriesal1,B111,Ammessosal1)</f>
        <v>#REF!</v>
      </c>
      <c r="H111" s="1010" t="e">
        <f ca="1">+IF(Anagrafica!$G$2="Capo II",(G111*Anagrafica!$F$38-I111),G111*Anagrafica!$F$38)</f>
        <v>#REF!</v>
      </c>
      <c r="I111" s="1016">
        <f ca="1">+IFERROR((G111/'Calcolo contributo CAPO II'!$C$23)*Anagrafica!$C$37,0)</f>
        <v>0</v>
      </c>
      <c r="J111" s="1107" t="e">
        <f ca="1">+IF(C111-F111&lt;0,0,C111-F111)</f>
        <v>#REF!</v>
      </c>
      <c r="K111" s="1018"/>
      <c r="L111" s="1019"/>
      <c r="M111" s="989"/>
      <c r="N111" s="989"/>
      <c r="O111" s="989"/>
      <c r="P111" s="989"/>
      <c r="Q111" s="989"/>
      <c r="R111" s="989"/>
      <c r="S111" s="989"/>
      <c r="T111" s="989"/>
    </row>
    <row r="112" spans="1:20" ht="70.5" customHeight="1" x14ac:dyDescent="0.35">
      <c r="A112" s="989"/>
      <c r="B112" s="1091" t="str">
        <f>+IF(Anagrafica!$G$2="Capo II","Programmi informatici e servizi per le tecnologie dell’informazione e della comunicazione","Macchinari, impianti ed attrezzature")</f>
        <v>Macchinari, impianti ed attrezzature</v>
      </c>
      <c r="C112" s="1103">
        <f ca="1">+Anagrafica!I32</f>
        <v>10000</v>
      </c>
      <c r="D112" s="1016">
        <f>+Anagrafica!J32</f>
        <v>0</v>
      </c>
      <c r="E112" s="1098" t="e" cm="1">
        <f t="array" aca="1" ref="E112" ca="1">+SUMIF(Categoriesal1,B112,Imponibilesal1)</f>
        <v>#REF!</v>
      </c>
      <c r="F112" s="1010" t="e" cm="1">
        <f t="array" aca="1" ref="F112" ca="1">+SUMIF(Categoriesal1,B112,Realizzatosal1)</f>
        <v>#REF!</v>
      </c>
      <c r="G112" s="1010" t="e" cm="1">
        <f t="array" aca="1" ref="G112" ca="1">+SUMIF(Categoriesal1,B112,Ammessosal1)</f>
        <v>#REF!</v>
      </c>
      <c r="H112" s="1010" t="e">
        <f ca="1">+(G112*Anagrafica!$F$38-I112)</f>
        <v>#REF!</v>
      </c>
      <c r="I112" s="1016" t="e">
        <f ca="1">IF(Anagrafica!$G$2="Capo II",(G112/'Calcolo contributo CAPO II'!$C$23)*Anagrafica!$C$37,G112/(GBER!$C$11+GBER!$C$13)*Anagrafica!$C$37)</f>
        <v>#REF!</v>
      </c>
      <c r="J112" s="1107" t="e">
        <f t="shared" ca="1" si="0"/>
        <v>#REF!</v>
      </c>
      <c r="K112" s="1018"/>
      <c r="L112" s="1018"/>
      <c r="M112" s="1018"/>
      <c r="N112" s="1018"/>
      <c r="O112" s="989"/>
      <c r="P112" s="989"/>
      <c r="Q112" s="989"/>
      <c r="R112" s="1018"/>
      <c r="S112" s="989"/>
      <c r="T112" s="989"/>
    </row>
    <row r="113" spans="1:20" ht="45.75" customHeight="1" x14ac:dyDescent="0.35">
      <c r="A113" s="989"/>
      <c r="B113" s="1091" t="str">
        <f>+IF(Anagrafica!$G$2="Capo II","Acquisto di brevetti o acquisizione di relative licenze d’uso","Programmi informatici, brevetti, licenze e marchi")</f>
        <v>Programmi informatici, brevetti, licenze e marchi</v>
      </c>
      <c r="C113" s="1103">
        <f ca="1">+Anagrafica!I33</f>
        <v>0</v>
      </c>
      <c r="D113" s="1016">
        <f ca="1">+Anagrafica!J33</f>
        <v>0</v>
      </c>
      <c r="E113" s="1098" t="e" cm="1">
        <f t="array" aca="1" ref="E113" ca="1">+SUMIF(Categoriesal1,B113,Imponibilesal1)</f>
        <v>#REF!</v>
      </c>
      <c r="F113" s="1010" t="e" cm="1">
        <f t="array" aca="1" ref="F113" ca="1">+SUMIF(Categoriesal1,B113,Realizzatosal1)</f>
        <v>#REF!</v>
      </c>
      <c r="G113" s="1010" t="e" cm="1">
        <f t="array" aca="1" ref="G113" ca="1">+SUMIF(Categoriesal1,B113,Ammessosal1)</f>
        <v>#REF!</v>
      </c>
      <c r="H113" s="1010" t="e">
        <f ca="1">+G113*Anagrafica!$F$38-I113</f>
        <v>#REF!</v>
      </c>
      <c r="I113" s="1016" t="e">
        <f ca="1">IF(Anagrafica!$G$2="Capo II",(G113/'Calcolo contributo CAPO II'!$C$23)*Anagrafica!$C$37,G113/(GBER!$C$11+GBER!$C$13)*Anagrafica!$C$37)</f>
        <v>#REF!</v>
      </c>
      <c r="J113" s="1107" t="e">
        <f t="shared" ca="1" si="0"/>
        <v>#REF!</v>
      </c>
      <c r="K113" s="989"/>
      <c r="L113" s="1019"/>
      <c r="M113" s="1028"/>
      <c r="N113" s="989"/>
      <c r="O113" s="989"/>
      <c r="P113" s="989"/>
      <c r="Q113" s="989"/>
      <c r="R113" s="989"/>
      <c r="S113" s="989"/>
      <c r="T113" s="989"/>
    </row>
    <row r="114" spans="1:20" ht="39" customHeight="1" x14ac:dyDescent="0.35">
      <c r="A114" s="989"/>
      <c r="B114" s="1091" t="str">
        <f>+IF(Anagrafica!$G$2="Capo II","Consulenze specialistiche","TOTALE PROGRAMMA DI SPESA")</f>
        <v>TOTALE PROGRAMMA DI SPESA</v>
      </c>
      <c r="C114" s="1103">
        <f ca="1">+Anagrafica!I34</f>
        <v>10000</v>
      </c>
      <c r="D114" s="1016">
        <f ca="1">+Anagrafica!J34</f>
        <v>0</v>
      </c>
      <c r="E114" s="1098" t="e" cm="1">
        <f t="array" aca="1" ref="E114" ca="1">IF(Anagrafica!$G$2="Capo II",+SUMIF(Categoriesal1,B114,Imponibilesal1),SUM(E110:E113))</f>
        <v>#REF!</v>
      </c>
      <c r="F114" s="1010" t="e" cm="1">
        <f t="array" aca="1" ref="F114" ca="1">+IF(Anagrafica!$G$2="Capo II",+SUMIF(Categoriesal1,B114,Realizzatosal1),SUM(F110:F113))</f>
        <v>#REF!</v>
      </c>
      <c r="G114" s="1010" t="e" cm="1">
        <f t="array" aca="1" ref="G114" ca="1">IF(Anagrafica!$G$2="Capo II",+SUMIF(Categoriesal1,B114,Ammessosal1),SUM(G110:G113))</f>
        <v>#REF!</v>
      </c>
      <c r="H114" s="1010">
        <f ca="1">IFERROR(IF(Anagrafica!$G$2="Capo II",+G114*Anagrafica!$F$38,SUM(H110:H113)),0)</f>
        <v>0</v>
      </c>
      <c r="I114" s="1016">
        <f ca="1">IFERROR(IF(Anagrafica!$G$2="Capo II",0,SUM(I110:I113)),0)</f>
        <v>0</v>
      </c>
      <c r="J114" s="1107" t="e">
        <f t="shared" ca="1" si="0"/>
        <v>#REF!</v>
      </c>
      <c r="K114" s="989"/>
      <c r="L114" s="1028"/>
      <c r="M114" s="989"/>
      <c r="N114" s="989"/>
      <c r="O114" s="1018"/>
      <c r="P114" s="989"/>
      <c r="Q114" s="989"/>
      <c r="R114" s="989"/>
      <c r="S114" s="989"/>
      <c r="T114" s="989"/>
    </row>
    <row r="115" spans="1:20" ht="44.25" customHeight="1" thickBot="1" x14ac:dyDescent="0.4">
      <c r="A115" s="989"/>
      <c r="B115" s="1092" t="str">
        <f>+IF(Anagrafica!$G$2="Capo II","Oneri notarili connessi alla stipula del contratto di finanziamento ed oneri connessi alla costituzione della società","")</f>
        <v/>
      </c>
      <c r="C115" s="1104" t="str">
        <f>+Anagrafica!I35</f>
        <v/>
      </c>
      <c r="D115" s="1027" t="str">
        <f>+Anagrafica!J35</f>
        <v/>
      </c>
      <c r="E115" s="1098" t="e" cm="1">
        <f t="array" aca="1" ref="E115" ca="1">+SUMIF(Categoriesal1,B115,Imponibilesal1)</f>
        <v>#REF!</v>
      </c>
      <c r="F115" s="1011" t="e" cm="1">
        <f t="array" aca="1" ref="F115" ca="1">+SUMIF(Categoriesal1,B115,Realizzatosal1)</f>
        <v>#REF!</v>
      </c>
      <c r="G115" s="1011" t="e" cm="1">
        <f t="array" aca="1" ref="G115" ca="1">+SUMIF(Categoriesal1,B115,Ammessosal1)</f>
        <v>#REF!</v>
      </c>
      <c r="H115" s="1009" t="str">
        <f ca="1">IFERROR(+G115*Anagrafica!$F$38,"")</f>
        <v/>
      </c>
      <c r="I115" s="1027">
        <v>0</v>
      </c>
      <c r="J115" s="1111" t="e">
        <f t="shared" ca="1" si="0"/>
        <v>#VALUE!</v>
      </c>
      <c r="K115" s="989"/>
      <c r="L115" s="989"/>
      <c r="M115" s="989"/>
      <c r="N115" s="989"/>
      <c r="O115" s="989"/>
      <c r="P115" s="989"/>
      <c r="Q115" s="989"/>
      <c r="R115" s="989"/>
      <c r="S115" s="989"/>
      <c r="T115" s="989"/>
    </row>
    <row r="116" spans="1:20" ht="28.5" customHeight="1" thickBot="1" x14ac:dyDescent="0.4">
      <c r="A116" s="989"/>
      <c r="B116" s="1093" t="str">
        <f>+IF(Anagrafica!$G$2="Capo II","TOTALE INVESTIMENTO","")</f>
        <v/>
      </c>
      <c r="C116" s="1105" t="str">
        <f>+Anagrafica!I36</f>
        <v/>
      </c>
      <c r="D116" s="1106" t="str">
        <f>+Anagrafica!J36</f>
        <v/>
      </c>
      <c r="E116" s="1099" t="e">
        <f t="shared" ref="E116:J116" ca="1" si="1">+SUM(E110:E115)</f>
        <v>#REF!</v>
      </c>
      <c r="F116" s="1013" t="e">
        <f t="shared" ca="1" si="1"/>
        <v>#REF!</v>
      </c>
      <c r="G116" s="1013" t="e">
        <f t="shared" ca="1" si="1"/>
        <v>#REF!</v>
      </c>
      <c r="H116" s="1013" t="e">
        <f ca="1">+SUM(H110:H115)</f>
        <v>#REF!</v>
      </c>
      <c r="I116" s="1017" t="e">
        <f t="shared" ca="1" si="1"/>
        <v>#REF!</v>
      </c>
      <c r="J116" s="1108" t="e">
        <f t="shared" ca="1" si="1"/>
        <v>#REF!</v>
      </c>
      <c r="K116" s="989"/>
      <c r="L116" s="989"/>
      <c r="M116" s="989"/>
      <c r="N116" s="989"/>
      <c r="O116" s="989"/>
      <c r="P116" s="989"/>
      <c r="Q116" s="989"/>
      <c r="R116" s="989"/>
      <c r="S116" s="989"/>
      <c r="T116" s="989"/>
    </row>
    <row r="117" spans="1:20" ht="27.75" customHeight="1" thickBot="1" x14ac:dyDescent="0.4">
      <c r="A117" s="989"/>
      <c r="B117" s="1092" t="str">
        <f>+IF(Anagrafica!$G$2="Capo II","Capitale circolante","")</f>
        <v/>
      </c>
      <c r="C117" s="1104">
        <f>+Anagrafica!C31</f>
        <v>0</v>
      </c>
      <c r="D117" s="1027">
        <f>+Anagrafica!C31</f>
        <v>0</v>
      </c>
      <c r="E117" s="1100">
        <f>+E86</f>
        <v>0</v>
      </c>
      <c r="F117" s="1012">
        <f>+E87</f>
        <v>0</v>
      </c>
      <c r="G117" s="1012">
        <f>+E87</f>
        <v>0</v>
      </c>
      <c r="H117" s="1009">
        <f ca="1">IFERROR(G117*Anagrafica!$F$38,0)</f>
        <v>0</v>
      </c>
      <c r="I117" s="1015">
        <v>0</v>
      </c>
      <c r="J117" s="1109">
        <f>+IF(C117-F117&lt;0,0,C117-F117)</f>
        <v>0</v>
      </c>
      <c r="K117" s="989"/>
      <c r="L117" s="989"/>
      <c r="M117" s="989"/>
      <c r="N117" s="989"/>
      <c r="O117" s="989"/>
      <c r="P117" s="989"/>
      <c r="R117" s="989"/>
      <c r="S117" s="989"/>
      <c r="T117" s="989"/>
    </row>
    <row r="118" spans="1:20" ht="31.5" customHeight="1" thickBot="1" x14ac:dyDescent="0.4">
      <c r="A118" s="989"/>
      <c r="B118" s="1093" t="str">
        <f>+IF(Anagrafica!$G$2="Capo II","TOTALE PROGRAMMA DI SPESA","")</f>
        <v/>
      </c>
      <c r="C118" s="1013" t="str">
        <f>+Anagrafica!I38</f>
        <v/>
      </c>
      <c r="D118" s="1013" t="str">
        <f>+Anagrafica!J38</f>
        <v/>
      </c>
      <c r="E118" s="1013" t="e">
        <f ca="1">+E116+E117</f>
        <v>#REF!</v>
      </c>
      <c r="F118" s="1013" t="e">
        <f ca="1">+F116+F117</f>
        <v>#REF!</v>
      </c>
      <c r="G118" s="1013" t="e">
        <f ca="1">+G116+G117</f>
        <v>#REF!</v>
      </c>
      <c r="H118" s="1013" t="e">
        <f ca="1">+H117+H116</f>
        <v>#REF!</v>
      </c>
      <c r="I118" s="1017" t="e">
        <f ca="1">+I116</f>
        <v>#REF!</v>
      </c>
      <c r="J118" s="1108" t="e">
        <f ca="1">+J117+J116</f>
        <v>#REF!</v>
      </c>
      <c r="K118" s="989"/>
      <c r="L118" s="989"/>
      <c r="M118" s="989"/>
      <c r="N118" s="989"/>
      <c r="O118" s="989"/>
      <c r="P118" s="989"/>
      <c r="Q118" s="989"/>
      <c r="R118" s="989"/>
      <c r="S118" s="989"/>
      <c r="T118" s="989"/>
    </row>
    <row r="119" spans="1:20" x14ac:dyDescent="0.35">
      <c r="A119" s="989"/>
      <c r="B119" s="989"/>
      <c r="C119" s="989"/>
      <c r="D119" s="989"/>
      <c r="E119" s="989"/>
      <c r="F119" s="989"/>
      <c r="G119" s="989"/>
      <c r="H119" s="989"/>
      <c r="I119" s="989"/>
      <c r="J119" s="989"/>
      <c r="K119" s="989"/>
      <c r="L119" s="989"/>
      <c r="M119" s="989"/>
      <c r="N119" s="989"/>
      <c r="O119" s="989"/>
      <c r="P119" s="989"/>
      <c r="Q119" s="989"/>
      <c r="R119" s="989"/>
      <c r="S119" s="989"/>
      <c r="T119" s="989"/>
    </row>
    <row r="120" spans="1:20" ht="15" thickBot="1" x14ac:dyDescent="0.4">
      <c r="A120" s="989"/>
      <c r="B120" s="989"/>
      <c r="C120" s="989"/>
      <c r="D120" s="989"/>
      <c r="E120" s="989"/>
      <c r="F120" s="989"/>
      <c r="G120" s="989"/>
      <c r="H120" s="989"/>
      <c r="I120" s="989"/>
      <c r="J120" s="989"/>
      <c r="K120" s="989"/>
      <c r="L120" s="989"/>
      <c r="M120" s="989"/>
      <c r="N120" s="989"/>
      <c r="O120" s="989"/>
      <c r="P120" s="989"/>
      <c r="Q120" s="989"/>
      <c r="R120" s="989"/>
      <c r="S120" s="989"/>
      <c r="T120" s="989"/>
    </row>
    <row r="121" spans="1:20" ht="15" thickBot="1" x14ac:dyDescent="0.4">
      <c r="A121" s="989"/>
      <c r="B121" s="2199" t="s">
        <v>2163</v>
      </c>
      <c r="C121" s="2200"/>
      <c r="D121" s="2200"/>
      <c r="E121" s="2201"/>
      <c r="F121" s="1159"/>
      <c r="G121" s="989"/>
      <c r="H121" s="989"/>
      <c r="I121" s="1018"/>
      <c r="J121" s="989"/>
      <c r="K121" s="989"/>
      <c r="L121" s="989"/>
      <c r="M121" s="989"/>
      <c r="N121" s="989"/>
      <c r="O121" s="989"/>
      <c r="P121" s="989"/>
      <c r="Q121" s="989"/>
      <c r="R121" s="989"/>
      <c r="S121" s="989"/>
      <c r="T121" s="989"/>
    </row>
    <row r="122" spans="1:20" x14ac:dyDescent="0.35">
      <c r="A122" s="989"/>
      <c r="B122" s="2209" t="s">
        <v>2251</v>
      </c>
      <c r="C122" s="2209"/>
      <c r="D122" s="2209"/>
      <c r="E122" s="2209"/>
      <c r="F122" s="1114" t="e">
        <f ca="1">+IF(Anagrafica!$G$2="Capo II",'1 SAL'!E118,'1 SAL'!E114)</f>
        <v>#REF!</v>
      </c>
      <c r="G122" s="989"/>
      <c r="H122" s="989"/>
      <c r="I122" s="989"/>
      <c r="J122" s="989"/>
      <c r="K122" s="989"/>
      <c r="L122" s="989"/>
      <c r="M122" s="989"/>
      <c r="N122" s="989"/>
      <c r="O122" s="989"/>
      <c r="P122" s="989"/>
      <c r="Q122" s="989"/>
      <c r="R122" s="989"/>
      <c r="S122" s="989"/>
      <c r="T122" s="989"/>
    </row>
    <row r="123" spans="1:20" x14ac:dyDescent="0.35">
      <c r="A123" s="989"/>
      <c r="B123" s="2208" t="s">
        <v>2252</v>
      </c>
      <c r="C123" s="2208"/>
      <c r="D123" s="2208"/>
      <c r="E123" s="2208"/>
      <c r="F123" s="1115" t="e">
        <f ca="1">+IF(Anagrafica!$G$2="Capo II",'1 SAL'!F118,'1 SAL'!F114)</f>
        <v>#REF!</v>
      </c>
      <c r="G123" s="989"/>
      <c r="H123" s="989"/>
      <c r="I123" s="989"/>
      <c r="J123" s="989"/>
      <c r="K123" s="989"/>
      <c r="L123" s="989"/>
      <c r="M123" s="989"/>
      <c r="N123" s="989"/>
      <c r="O123" s="989"/>
      <c r="P123" s="989"/>
      <c r="Q123" s="989"/>
      <c r="R123" s="989"/>
      <c r="S123" s="989"/>
      <c r="T123" s="989"/>
    </row>
    <row r="124" spans="1:20" x14ac:dyDescent="0.35">
      <c r="A124" s="989"/>
      <c r="B124" s="2208" t="s">
        <v>2253</v>
      </c>
      <c r="C124" s="2208"/>
      <c r="D124" s="2208"/>
      <c r="E124" s="2208"/>
      <c r="F124" s="1115" t="e">
        <f ca="1">+IF(Anagrafica!$G$2="Capo II",'1 SAL'!G118,'1 SAL'!G114)</f>
        <v>#REF!</v>
      </c>
      <c r="G124" s="989"/>
      <c r="H124" s="989"/>
      <c r="I124" s="989"/>
      <c r="J124" s="989"/>
      <c r="K124" s="989"/>
      <c r="L124" s="989"/>
      <c r="M124" s="989"/>
      <c r="N124" s="989"/>
      <c r="O124" s="989"/>
      <c r="P124" s="989"/>
      <c r="Q124" s="989"/>
      <c r="R124" s="989"/>
      <c r="S124" s="989"/>
      <c r="T124" s="989"/>
    </row>
    <row r="125" spans="1:20" x14ac:dyDescent="0.35">
      <c r="A125" s="989"/>
      <c r="B125" s="2208" t="s">
        <v>2254</v>
      </c>
      <c r="C125" s="2208"/>
      <c r="D125" s="2208"/>
      <c r="E125" s="2208"/>
      <c r="F125" s="1116">
        <f ca="1">+IF(Anagrafica!$G$2="Capo II",'1 SAL'!H118,'1 SAL'!H114)</f>
        <v>0</v>
      </c>
      <c r="G125" s="989"/>
      <c r="H125" s="989"/>
      <c r="I125" s="989"/>
      <c r="J125" s="989"/>
      <c r="K125" s="989"/>
      <c r="L125" s="989"/>
      <c r="M125" s="989"/>
      <c r="N125" s="989"/>
      <c r="O125" s="989"/>
      <c r="P125" s="989"/>
      <c r="Q125" s="989"/>
      <c r="R125" s="989"/>
      <c r="S125" s="989"/>
      <c r="T125" s="989"/>
    </row>
    <row r="126" spans="1:20" x14ac:dyDescent="0.35">
      <c r="A126" s="989"/>
      <c r="B126" s="2208" t="s">
        <v>2255</v>
      </c>
      <c r="C126" s="2208"/>
      <c r="D126" s="2208"/>
      <c r="E126" s="2208"/>
      <c r="F126" s="1116">
        <f ca="1">IFERROR(+Anticipo!F47*(F124/Anagrafica!C32),0)</f>
        <v>0</v>
      </c>
      <c r="G126" s="989"/>
      <c r="H126" s="989"/>
      <c r="I126" s="989"/>
      <c r="J126" s="989"/>
      <c r="K126" s="989"/>
      <c r="L126" s="989"/>
      <c r="M126" s="989"/>
      <c r="N126" s="989"/>
      <c r="O126" s="989"/>
      <c r="P126" s="989"/>
      <c r="Q126" s="989"/>
      <c r="R126" s="989"/>
      <c r="S126" s="989"/>
      <c r="T126" s="989"/>
    </row>
    <row r="127" spans="1:20" ht="15" thickBot="1" x14ac:dyDescent="0.4">
      <c r="A127" s="989"/>
      <c r="B127" s="2210" t="s">
        <v>1776</v>
      </c>
      <c r="C127" s="2210"/>
      <c r="D127" s="2210"/>
      <c r="E127" s="2210"/>
      <c r="F127" s="1117">
        <f ca="1">+IF(Anagrafica!$G$2="Capo II",I118,I114)</f>
        <v>0</v>
      </c>
      <c r="G127" s="989"/>
      <c r="H127" s="989"/>
      <c r="I127" s="989"/>
      <c r="J127" s="989"/>
      <c r="K127" s="989"/>
      <c r="L127" s="989"/>
      <c r="M127" s="989"/>
      <c r="N127" s="989"/>
      <c r="O127" s="989"/>
      <c r="P127" s="989"/>
      <c r="Q127" s="989"/>
      <c r="R127" s="989"/>
      <c r="S127" s="989"/>
      <c r="T127" s="989"/>
    </row>
    <row r="128" spans="1:20" ht="15" thickBot="1" x14ac:dyDescent="0.4">
      <c r="A128" s="989"/>
      <c r="B128" s="2207" t="s">
        <v>2256</v>
      </c>
      <c r="C128" s="2207"/>
      <c r="D128" s="2207"/>
      <c r="E128" s="2207"/>
      <c r="F128" s="1160">
        <f ca="1">IFERROR(+F125-F126+F127,0)</f>
        <v>0</v>
      </c>
      <c r="G128" s="989"/>
      <c r="H128" s="989"/>
      <c r="I128" s="989"/>
      <c r="J128" s="989"/>
      <c r="K128" s="989"/>
      <c r="L128" s="989"/>
      <c r="M128" s="989"/>
      <c r="N128" s="989"/>
      <c r="O128" s="989"/>
      <c r="P128" s="989"/>
      <c r="Q128" s="989"/>
      <c r="R128" s="989"/>
      <c r="S128" s="989"/>
      <c r="T128" s="989"/>
    </row>
    <row r="129" spans="1:20" ht="29.15" customHeight="1" thickBot="1" x14ac:dyDescent="0.4">
      <c r="A129" s="989"/>
      <c r="B129" s="989"/>
      <c r="C129" s="989"/>
      <c r="D129" s="989"/>
      <c r="E129" s="989"/>
      <c r="F129" s="989"/>
      <c r="G129" s="989"/>
      <c r="H129" s="2161" t="s">
        <v>2165</v>
      </c>
      <c r="I129" s="2162"/>
      <c r="J129" s="1203"/>
      <c r="K129" s="989"/>
      <c r="L129" s="989"/>
      <c r="M129" s="989"/>
      <c r="N129" s="989"/>
      <c r="O129" s="989"/>
      <c r="P129" s="989"/>
      <c r="Q129" s="989"/>
      <c r="R129" s="989"/>
      <c r="S129" s="989"/>
      <c r="T129" s="989"/>
    </row>
    <row r="130" spans="1:20" ht="29.15" customHeight="1" thickBot="1" x14ac:dyDescent="0.4">
      <c r="A130" s="989"/>
      <c r="B130" s="989"/>
      <c r="C130" s="989"/>
      <c r="D130" s="989"/>
      <c r="E130" s="989"/>
      <c r="F130" s="989"/>
      <c r="G130" s="989"/>
      <c r="H130" s="2161" t="s">
        <v>2166</v>
      </c>
      <c r="I130" s="2162"/>
      <c r="J130" s="1203"/>
      <c r="K130" s="989"/>
      <c r="L130" s="989"/>
      <c r="M130" s="989"/>
      <c r="N130" s="989"/>
      <c r="O130" s="989"/>
      <c r="P130" s="989"/>
      <c r="Q130" s="989"/>
      <c r="R130" s="989"/>
      <c r="S130" s="989"/>
      <c r="T130" s="989"/>
    </row>
    <row r="131" spans="1:20" ht="31.5" customHeight="1" thickBot="1" x14ac:dyDescent="0.4">
      <c r="A131" s="989"/>
      <c r="B131" s="989"/>
      <c r="C131" s="989"/>
      <c r="D131" s="989"/>
      <c r="E131" s="989"/>
      <c r="F131" s="989"/>
      <c r="G131" s="989"/>
      <c r="H131" s="2194" t="s">
        <v>2167</v>
      </c>
      <c r="I131" s="2195"/>
      <c r="J131" s="1203"/>
      <c r="K131" s="989"/>
      <c r="L131" s="989"/>
      <c r="M131" s="989"/>
      <c r="N131" s="989"/>
      <c r="O131" s="989"/>
      <c r="P131" s="989"/>
      <c r="Q131" s="989"/>
      <c r="R131" s="989"/>
      <c r="S131" s="989"/>
      <c r="T131" s="989"/>
    </row>
    <row r="132" spans="1:20" x14ac:dyDescent="0.35">
      <c r="A132" s="989"/>
      <c r="B132" s="989"/>
      <c r="C132" s="989"/>
      <c r="D132" s="989"/>
      <c r="E132" s="989"/>
      <c r="F132" s="989"/>
      <c r="G132" s="989"/>
      <c r="H132" s="989"/>
      <c r="I132" s="989"/>
      <c r="J132" s="989"/>
      <c r="K132" s="989"/>
      <c r="L132" s="989"/>
      <c r="M132" s="989"/>
      <c r="N132" s="989"/>
      <c r="O132" s="989"/>
      <c r="P132" s="989"/>
      <c r="Q132" s="989"/>
      <c r="R132" s="989"/>
      <c r="S132" s="989"/>
      <c r="T132" s="989"/>
    </row>
    <row r="133" spans="1:20" x14ac:dyDescent="0.35">
      <c r="A133" s="989"/>
      <c r="B133" s="989"/>
      <c r="C133" s="989"/>
      <c r="D133" s="989"/>
      <c r="E133" s="989"/>
      <c r="F133" s="989"/>
      <c r="G133" s="989"/>
      <c r="H133" s="989"/>
      <c r="I133" s="989"/>
      <c r="J133" s="989"/>
      <c r="K133" s="989"/>
      <c r="L133" s="989"/>
      <c r="M133" s="989"/>
      <c r="N133" s="989"/>
      <c r="O133" s="989"/>
      <c r="P133" s="989"/>
      <c r="Q133" s="989"/>
      <c r="R133" s="989"/>
      <c r="S133" s="989"/>
      <c r="T133" s="989"/>
    </row>
    <row r="134" spans="1:20" x14ac:dyDescent="0.35">
      <c r="A134" s="989"/>
      <c r="B134" s="989"/>
      <c r="C134" s="989"/>
      <c r="D134" s="989"/>
      <c r="E134" s="989"/>
      <c r="F134" s="989"/>
      <c r="G134" s="989"/>
      <c r="H134" s="989"/>
      <c r="I134" s="989"/>
      <c r="J134" s="989"/>
      <c r="K134" s="989"/>
      <c r="L134" s="989"/>
      <c r="M134" s="989"/>
      <c r="N134" s="989"/>
      <c r="O134" s="989"/>
      <c r="P134" s="989"/>
      <c r="Q134" s="989"/>
      <c r="R134" s="989"/>
      <c r="S134" s="989"/>
      <c r="T134" s="989"/>
    </row>
    <row r="135" spans="1:20" x14ac:dyDescent="0.35">
      <c r="A135" s="989"/>
      <c r="B135" s="989"/>
      <c r="C135" s="989"/>
      <c r="D135" s="989"/>
      <c r="E135" s="989"/>
      <c r="F135" s="989"/>
      <c r="G135" s="989"/>
      <c r="H135" s="989"/>
      <c r="I135" s="989"/>
      <c r="J135" s="989"/>
      <c r="K135" s="989"/>
      <c r="L135" s="989"/>
      <c r="M135" s="989"/>
      <c r="N135" s="989"/>
      <c r="O135" s="989"/>
      <c r="P135" s="989"/>
      <c r="Q135" s="989"/>
      <c r="R135" s="989"/>
      <c r="S135" s="989"/>
      <c r="T135" s="989"/>
    </row>
    <row r="136" spans="1:20" x14ac:dyDescent="0.35">
      <c r="A136" s="989"/>
      <c r="B136" s="989"/>
      <c r="C136" s="989"/>
      <c r="D136" s="989"/>
      <c r="E136" s="989"/>
      <c r="F136" s="989"/>
      <c r="G136" s="989"/>
      <c r="H136" s="989"/>
      <c r="I136" s="989"/>
      <c r="J136" s="989"/>
      <c r="K136" s="989"/>
      <c r="L136" s="989"/>
      <c r="M136" s="989"/>
      <c r="N136" s="989"/>
      <c r="O136" s="989"/>
      <c r="P136" s="989"/>
      <c r="Q136" s="989"/>
      <c r="R136" s="989"/>
      <c r="S136" s="989"/>
      <c r="T136" s="989"/>
    </row>
    <row r="137" spans="1:20" x14ac:dyDescent="0.35">
      <c r="A137" s="989"/>
      <c r="B137" s="989"/>
      <c r="C137" s="989"/>
      <c r="D137" s="989"/>
      <c r="E137" s="989"/>
      <c r="F137" s="989"/>
      <c r="G137" s="989"/>
      <c r="H137" s="989"/>
      <c r="I137" s="989"/>
      <c r="J137" s="989"/>
      <c r="K137" s="989"/>
      <c r="L137" s="989"/>
      <c r="M137" s="989"/>
      <c r="N137" s="989"/>
      <c r="O137" s="989"/>
      <c r="P137" s="989"/>
      <c r="Q137" s="989"/>
      <c r="R137" s="989"/>
      <c r="S137" s="989"/>
      <c r="T137" s="989"/>
    </row>
    <row r="138" spans="1:20" x14ac:dyDescent="0.35">
      <c r="A138" s="989"/>
      <c r="B138" s="989"/>
      <c r="C138" s="989"/>
      <c r="D138" s="989"/>
      <c r="E138" s="989"/>
      <c r="F138" s="989"/>
      <c r="G138" s="989"/>
      <c r="H138" s="989"/>
      <c r="I138" s="989"/>
      <c r="J138" s="989"/>
      <c r="K138" s="989"/>
      <c r="L138" s="989"/>
      <c r="M138" s="989"/>
      <c r="N138" s="989"/>
      <c r="O138" s="989"/>
      <c r="P138" s="989"/>
      <c r="Q138" s="989"/>
      <c r="R138" s="989"/>
      <c r="S138" s="989"/>
      <c r="T138" s="989"/>
    </row>
    <row r="139" spans="1:20" x14ac:dyDescent="0.35">
      <c r="A139" s="989"/>
      <c r="B139" s="989"/>
      <c r="C139" s="989"/>
      <c r="D139" s="989"/>
      <c r="E139" s="989"/>
      <c r="F139" s="989"/>
      <c r="G139" s="989"/>
      <c r="H139" s="989"/>
      <c r="I139" s="989"/>
      <c r="J139" s="989"/>
      <c r="K139" s="989"/>
      <c r="L139" s="989"/>
      <c r="M139" s="989"/>
      <c r="N139" s="989"/>
      <c r="O139" s="989"/>
      <c r="P139" s="989"/>
      <c r="Q139" s="989"/>
      <c r="R139" s="989"/>
      <c r="S139" s="989"/>
      <c r="T139" s="989"/>
    </row>
    <row r="140" spans="1:20" x14ac:dyDescent="0.35">
      <c r="A140" s="989"/>
      <c r="B140" s="989"/>
      <c r="C140" s="989"/>
      <c r="D140" s="989"/>
      <c r="E140" s="989"/>
      <c r="F140" s="989"/>
      <c r="G140" s="989"/>
      <c r="H140" s="989"/>
      <c r="I140" s="989"/>
      <c r="J140" s="989"/>
      <c r="K140" s="989"/>
      <c r="L140" s="989"/>
      <c r="M140" s="989"/>
      <c r="N140" s="989"/>
      <c r="O140" s="989"/>
      <c r="P140" s="989"/>
      <c r="Q140" s="989"/>
      <c r="R140" s="989"/>
      <c r="S140" s="989"/>
      <c r="T140" s="989"/>
    </row>
    <row r="141" spans="1:20" x14ac:dyDescent="0.35">
      <c r="A141" s="989"/>
      <c r="B141" s="989"/>
      <c r="C141" s="989"/>
      <c r="D141" s="989"/>
      <c r="E141" s="989"/>
      <c r="F141" s="989"/>
      <c r="G141" s="989"/>
      <c r="H141" s="989"/>
      <c r="I141" s="989"/>
      <c r="J141" s="989"/>
      <c r="K141" s="989"/>
      <c r="L141" s="989"/>
      <c r="M141" s="989"/>
      <c r="N141" s="989"/>
      <c r="O141" s="989"/>
      <c r="P141" s="989"/>
      <c r="Q141" s="989"/>
      <c r="R141" s="989"/>
      <c r="S141" s="989"/>
      <c r="T141" s="989"/>
    </row>
    <row r="142" spans="1:20" x14ac:dyDescent="0.35">
      <c r="A142" s="989"/>
      <c r="B142" s="989"/>
      <c r="C142" s="989"/>
      <c r="D142" s="989"/>
      <c r="E142" s="989"/>
      <c r="F142" s="989"/>
      <c r="G142" s="989"/>
      <c r="H142" s="989"/>
      <c r="I142" s="989"/>
      <c r="J142" s="989"/>
      <c r="K142" s="989"/>
      <c r="L142" s="989"/>
      <c r="M142" s="989"/>
      <c r="N142" s="989"/>
      <c r="O142" s="989"/>
      <c r="P142" s="989"/>
      <c r="Q142" s="989"/>
      <c r="R142" s="989"/>
      <c r="S142" s="989"/>
      <c r="T142" s="989"/>
    </row>
    <row r="143" spans="1:20" x14ac:dyDescent="0.35">
      <c r="A143" s="989"/>
      <c r="B143" s="989"/>
      <c r="C143" s="989"/>
      <c r="D143" s="989"/>
      <c r="E143" s="989"/>
      <c r="F143" s="989"/>
      <c r="G143" s="989"/>
      <c r="H143" s="989"/>
      <c r="I143" s="989"/>
      <c r="J143" s="989"/>
      <c r="K143" s="989"/>
      <c r="L143" s="989"/>
      <c r="M143" s="989"/>
      <c r="N143" s="989"/>
      <c r="O143" s="989"/>
      <c r="P143" s="989"/>
      <c r="Q143" s="989"/>
      <c r="R143" s="989"/>
      <c r="S143" s="989"/>
      <c r="T143" s="989"/>
    </row>
    <row r="144" spans="1:20" x14ac:dyDescent="0.35">
      <c r="A144" s="989"/>
      <c r="B144" s="989"/>
      <c r="C144" s="989"/>
      <c r="D144" s="989"/>
      <c r="E144" s="989"/>
      <c r="F144" s="989"/>
      <c r="G144" s="989"/>
      <c r="H144" s="989"/>
      <c r="I144" s="989"/>
      <c r="J144" s="989"/>
      <c r="K144" s="989"/>
      <c r="L144" s="989"/>
      <c r="M144" s="989"/>
      <c r="N144" s="989"/>
      <c r="O144" s="989"/>
      <c r="P144" s="989"/>
      <c r="Q144" s="989"/>
      <c r="R144" s="989"/>
      <c r="S144" s="989"/>
      <c r="T144" s="989"/>
    </row>
    <row r="145" spans="1:20" x14ac:dyDescent="0.35">
      <c r="A145" s="989"/>
      <c r="B145" s="989"/>
      <c r="C145" s="989"/>
      <c r="D145" s="989"/>
      <c r="E145" s="989"/>
      <c r="F145" s="989"/>
      <c r="G145" s="989"/>
      <c r="H145" s="989"/>
      <c r="I145" s="989"/>
      <c r="J145" s="989"/>
      <c r="K145" s="989"/>
      <c r="L145" s="989"/>
      <c r="M145" s="989"/>
      <c r="N145" s="989"/>
      <c r="O145" s="989"/>
      <c r="P145" s="989"/>
      <c r="Q145" s="989"/>
      <c r="R145" s="989"/>
      <c r="S145" s="989"/>
      <c r="T145" s="989"/>
    </row>
    <row r="146" spans="1:20" x14ac:dyDescent="0.35">
      <c r="A146" s="989"/>
      <c r="B146" s="989"/>
      <c r="C146" s="989"/>
      <c r="D146" s="989"/>
      <c r="E146" s="989"/>
      <c r="F146" s="989"/>
      <c r="G146" s="989"/>
      <c r="H146" s="989"/>
      <c r="I146" s="989"/>
      <c r="J146" s="989"/>
      <c r="K146" s="989"/>
      <c r="L146" s="989"/>
      <c r="M146" s="989"/>
      <c r="N146" s="989"/>
      <c r="O146" s="989"/>
      <c r="P146" s="989"/>
      <c r="Q146" s="989"/>
      <c r="R146" s="989"/>
      <c r="S146" s="989"/>
      <c r="T146" s="989"/>
    </row>
    <row r="147" spans="1:20" x14ac:dyDescent="0.35">
      <c r="A147" s="989"/>
      <c r="B147" s="989"/>
      <c r="C147" s="989"/>
      <c r="D147" s="989"/>
      <c r="E147" s="989"/>
      <c r="F147" s="989"/>
      <c r="G147" s="989"/>
      <c r="H147" s="989"/>
      <c r="I147" s="989"/>
      <c r="J147" s="989"/>
      <c r="K147" s="989"/>
      <c r="L147" s="989"/>
      <c r="M147" s="989"/>
      <c r="N147" s="989"/>
      <c r="O147" s="989"/>
      <c r="P147" s="989"/>
      <c r="Q147" s="989"/>
      <c r="R147" s="989"/>
      <c r="S147" s="989"/>
      <c r="T147" s="989"/>
    </row>
    <row r="148" spans="1:20" x14ac:dyDescent="0.35">
      <c r="A148" s="989"/>
      <c r="B148" s="989"/>
      <c r="C148" s="989"/>
      <c r="D148" s="989"/>
      <c r="E148" s="989"/>
      <c r="F148" s="989"/>
      <c r="G148" s="989"/>
      <c r="H148" s="989"/>
      <c r="I148" s="989"/>
      <c r="J148" s="989"/>
      <c r="K148" s="989"/>
      <c r="L148" s="989"/>
      <c r="M148" s="989"/>
      <c r="N148" s="989"/>
      <c r="O148" s="989"/>
      <c r="P148" s="989"/>
      <c r="Q148" s="989"/>
      <c r="R148" s="989"/>
      <c r="S148" s="989"/>
      <c r="T148" s="989"/>
    </row>
    <row r="149" spans="1:20" x14ac:dyDescent="0.35">
      <c r="A149" s="989"/>
      <c r="B149" s="989"/>
      <c r="C149" s="989"/>
      <c r="D149" s="989"/>
      <c r="E149" s="989"/>
      <c r="F149" s="989"/>
      <c r="G149" s="989"/>
      <c r="H149" s="989"/>
      <c r="I149" s="989"/>
      <c r="J149" s="989"/>
      <c r="K149" s="989"/>
      <c r="L149" s="989"/>
      <c r="M149" s="989"/>
      <c r="N149" s="989"/>
      <c r="O149" s="989"/>
      <c r="P149" s="989"/>
      <c r="Q149" s="989"/>
      <c r="R149" s="989"/>
      <c r="S149" s="989"/>
      <c r="T149" s="989"/>
    </row>
    <row r="150" spans="1:20" x14ac:dyDescent="0.35">
      <c r="A150" s="989"/>
      <c r="B150" s="989"/>
      <c r="C150" s="989"/>
      <c r="D150" s="989"/>
      <c r="E150" s="989"/>
      <c r="F150" s="989"/>
      <c r="G150" s="989"/>
      <c r="H150" s="989"/>
      <c r="I150" s="989"/>
      <c r="J150" s="989"/>
      <c r="K150" s="989"/>
      <c r="L150" s="989"/>
      <c r="M150" s="989"/>
      <c r="N150" s="989"/>
      <c r="O150" s="989"/>
      <c r="P150" s="989"/>
      <c r="Q150" s="989"/>
      <c r="R150" s="989"/>
      <c r="S150" s="989"/>
      <c r="T150" s="989"/>
    </row>
    <row r="151" spans="1:20" x14ac:dyDescent="0.35">
      <c r="A151" s="989"/>
      <c r="B151" s="989"/>
      <c r="C151" s="989"/>
      <c r="D151" s="989"/>
      <c r="E151" s="989"/>
      <c r="F151" s="989"/>
      <c r="G151" s="989"/>
      <c r="H151" s="989"/>
      <c r="I151" s="989"/>
      <c r="J151" s="989"/>
      <c r="K151" s="989"/>
      <c r="L151" s="989"/>
      <c r="M151" s="989"/>
      <c r="N151" s="989"/>
      <c r="O151" s="989"/>
      <c r="P151" s="989"/>
      <c r="Q151" s="989"/>
      <c r="R151" s="989"/>
      <c r="S151" s="989"/>
      <c r="T151" s="989"/>
    </row>
    <row r="152" spans="1:20" s="989" customFormat="1" x14ac:dyDescent="0.35"/>
    <row r="153" spans="1:20" s="989" customFormat="1" x14ac:dyDescent="0.35"/>
    <row r="154" spans="1:20" s="989" customFormat="1" x14ac:dyDescent="0.35"/>
    <row r="155" spans="1:20" s="989" customFormat="1" x14ac:dyDescent="0.35"/>
    <row r="156" spans="1:20" s="989" customFormat="1" x14ac:dyDescent="0.35"/>
    <row r="157" spans="1:20" s="989" customFormat="1" x14ac:dyDescent="0.35"/>
    <row r="158" spans="1:20" s="989" customFormat="1" x14ac:dyDescent="0.35"/>
    <row r="159" spans="1:20" s="989" customFormat="1" x14ac:dyDescent="0.35"/>
    <row r="160" spans="1:20" s="989" customFormat="1" x14ac:dyDescent="0.35"/>
    <row r="161" s="989" customFormat="1" x14ac:dyDescent="0.35"/>
    <row r="162" s="989" customFormat="1" x14ac:dyDescent="0.35"/>
    <row r="163" s="989" customFormat="1" x14ac:dyDescent="0.35"/>
    <row r="164" s="989" customFormat="1" x14ac:dyDescent="0.35"/>
    <row r="165" s="989" customFormat="1" x14ac:dyDescent="0.35"/>
    <row r="166" s="989" customFormat="1" x14ac:dyDescent="0.35"/>
    <row r="167" s="989" customFormat="1" x14ac:dyDescent="0.35"/>
  </sheetData>
  <mergeCells count="113">
    <mergeCell ref="H130:I130"/>
    <mergeCell ref="H131:I131"/>
    <mergeCell ref="B27:B29"/>
    <mergeCell ref="B121:E121"/>
    <mergeCell ref="C108:D108"/>
    <mergeCell ref="B103:S103"/>
    <mergeCell ref="E108:I108"/>
    <mergeCell ref="B128:E128"/>
    <mergeCell ref="B126:E126"/>
    <mergeCell ref="B122:E122"/>
    <mergeCell ref="B123:E123"/>
    <mergeCell ref="B124:E124"/>
    <mergeCell ref="B125:E125"/>
    <mergeCell ref="B127:E127"/>
    <mergeCell ref="B32:E32"/>
    <mergeCell ref="B41:E41"/>
    <mergeCell ref="G41:I41"/>
    <mergeCell ref="B42:E42"/>
    <mergeCell ref="G42:I42"/>
    <mergeCell ref="B43:E43"/>
    <mergeCell ref="G43:I43"/>
    <mergeCell ref="B44:E44"/>
    <mergeCell ref="G44:I44"/>
    <mergeCell ref="J94:K94"/>
    <mergeCell ref="H129:I129"/>
    <mergeCell ref="B67:S67"/>
    <mergeCell ref="B100:K100"/>
    <mergeCell ref="B97:K97"/>
    <mergeCell ref="B98:K98"/>
    <mergeCell ref="B99:K99"/>
    <mergeCell ref="B86:D86"/>
    <mergeCell ref="B87:D87"/>
    <mergeCell ref="B79:S79"/>
    <mergeCell ref="B80:S80"/>
    <mergeCell ref="B82:S82"/>
    <mergeCell ref="B81:S81"/>
    <mergeCell ref="B83:S83"/>
    <mergeCell ref="R76:S76"/>
    <mergeCell ref="J90:K90"/>
    <mergeCell ref="J91:K91"/>
    <mergeCell ref="J92:K92"/>
    <mergeCell ref="J93:K93"/>
    <mergeCell ref="R71:S71"/>
    <mergeCell ref="R72:S72"/>
    <mergeCell ref="R73:S73"/>
    <mergeCell ref="R74:S74"/>
    <mergeCell ref="R75:S75"/>
    <mergeCell ref="B2:K2"/>
    <mergeCell ref="B6:G6"/>
    <mergeCell ref="H6:K6"/>
    <mergeCell ref="B8:K8"/>
    <mergeCell ref="B10:B11"/>
    <mergeCell ref="C10:K11"/>
    <mergeCell ref="C4:F4"/>
    <mergeCell ref="C13:D13"/>
    <mergeCell ref="G13:K13"/>
    <mergeCell ref="C15:K15"/>
    <mergeCell ref="B16:K16"/>
    <mergeCell ref="F20:K20"/>
    <mergeCell ref="G32:I32"/>
    <mergeCell ref="B33:E33"/>
    <mergeCell ref="G33:I33"/>
    <mergeCell ref="B34:E34"/>
    <mergeCell ref="G34:I34"/>
    <mergeCell ref="B35:I35"/>
    <mergeCell ref="B22:K22"/>
    <mergeCell ref="B23:K25"/>
    <mergeCell ref="B21:K21"/>
    <mergeCell ref="B31:I31"/>
    <mergeCell ref="B38:E38"/>
    <mergeCell ref="G38:I38"/>
    <mergeCell ref="B40:E40"/>
    <mergeCell ref="G40:I40"/>
    <mergeCell ref="B62:E62"/>
    <mergeCell ref="G62:I62"/>
    <mergeCell ref="G58:I58"/>
    <mergeCell ref="B54:E54"/>
    <mergeCell ref="G54:I54"/>
    <mergeCell ref="B55:E55"/>
    <mergeCell ref="G55:I55"/>
    <mergeCell ref="B49:E49"/>
    <mergeCell ref="B50:E50"/>
    <mergeCell ref="B51:E51"/>
    <mergeCell ref="B52:E52"/>
    <mergeCell ref="B53:E53"/>
    <mergeCell ref="G50:I50"/>
    <mergeCell ref="G51:I51"/>
    <mergeCell ref="G52:I52"/>
    <mergeCell ref="G53:I53"/>
    <mergeCell ref="B63:E63"/>
    <mergeCell ref="G63:I63"/>
    <mergeCell ref="F19:K19"/>
    <mergeCell ref="B59:E59"/>
    <mergeCell ref="G59:I59"/>
    <mergeCell ref="B60:E60"/>
    <mergeCell ref="G60:I60"/>
    <mergeCell ref="B61:E61"/>
    <mergeCell ref="G61:I61"/>
    <mergeCell ref="B56:E56"/>
    <mergeCell ref="G56:I56"/>
    <mergeCell ref="B57:E57"/>
    <mergeCell ref="G57:I57"/>
    <mergeCell ref="B58:E58"/>
    <mergeCell ref="B45:E45"/>
    <mergeCell ref="G45:I45"/>
    <mergeCell ref="B46:I46"/>
    <mergeCell ref="B47:E47"/>
    <mergeCell ref="G47:I47"/>
    <mergeCell ref="B48:E48"/>
    <mergeCell ref="B36:E36"/>
    <mergeCell ref="G36:I36"/>
    <mergeCell ref="B37:E37"/>
    <mergeCell ref="G37:I37"/>
  </mergeCells>
  <conditionalFormatting sqref="F20">
    <cfRule type="expression" dxfId="102" priority="27">
      <formula>$E$20/$K$17&gt;20%</formula>
    </cfRule>
  </conditionalFormatting>
  <conditionalFormatting sqref="F19:K19">
    <cfRule type="expression" dxfId="101" priority="5">
      <formula>+IF($F$19="L'importo quietanzato deve essere almeno pari al valore dell'anticipo",1,0)</formula>
    </cfRule>
  </conditionalFormatting>
  <dataValidations count="8">
    <dataValidation type="list" allowBlank="1" showInputMessage="1" showErrorMessage="1" sqref="E85 I72:I75" xr:uid="{05147A49-A3E3-451D-8DA2-F0F12991A9BE}">
      <formula1>"SI,NO"</formula1>
    </dataValidation>
    <dataValidation errorStyle="warning" operator="lessThanOrEqual" allowBlank="1" showInputMessage="1" showErrorMessage="1" errorTitle="Superamento Livello anticipo" error="Il valore richiesto è superiore al 40% previsto dalla normativa" sqref="E17" xr:uid="{1E0B3C6A-9E14-476A-931D-3092F93AEEDA}"/>
    <dataValidation operator="greaterThan" allowBlank="1" showInputMessage="1" showErrorMessage="1" errorTitle="prova" error="prova" sqref="D17" xr:uid="{C7CAB71D-D5E8-4AE3-8746-082D365060D7}"/>
    <dataValidation type="decimal" operator="greaterThan" allowBlank="1" showInputMessage="1" showErrorMessage="1" errorTitle="prova" error="prova" sqref="C17" xr:uid="{97490077-5C48-4CB6-AFF0-52050D94012B}">
      <formula1>K17*0.1</formula1>
    </dataValidation>
    <dataValidation type="list" allowBlank="1" showInputMessage="1" showErrorMessage="1" sqref="F37:F38 N72:Q75 F34 H91:I93" xr:uid="{EC28942A-DF1D-4A28-957B-A54A18B9D9CE}">
      <formula1>"Si,No"</formula1>
    </dataValidation>
    <dataValidation type="list" allowBlank="1" showInputMessage="1" showErrorMessage="1" sqref="F33" xr:uid="{B17F5698-84E5-43C0-B73B-EF82C86F169E}">
      <formula1>"Si,No,"</formula1>
    </dataValidation>
    <dataValidation type="list" allowBlank="1" showInputMessage="1" showErrorMessage="1" sqref="F41:F45 F48:F63" xr:uid="{5F660866-38EC-4148-B5F4-D34DB20C1DF5}">
      <formula1>"Si,No,Non neces."</formula1>
    </dataValidation>
    <dataValidation type="list" allowBlank="1" showInputMessage="1" showErrorMessage="1" sqref="H28:H29" xr:uid="{1C57293F-1C00-4D6F-9A71-D48CDD19F485}">
      <formula1>"Digitale,Cartacea"</formula1>
    </dataValidation>
  </dataValidations>
  <pageMargins left="0.7" right="0.7" top="0.75" bottom="0.75" header="0.3" footer="0.3"/>
  <pageSetup scale="31" orientation="portrait" r:id="rId1"/>
  <legacyDrawing r:id="rId2"/>
  <extLst>
    <ext xmlns:x14="http://schemas.microsoft.com/office/spreadsheetml/2009/9/main" uri="{78C0D931-6437-407d-A8EE-F0AAD7539E65}">
      <x14:conditionalFormattings>
        <x14:conditionalFormatting xmlns:xm="http://schemas.microsoft.com/office/excel/2006/main">
          <x14:cfRule type="expression" priority="21" id="{EC0BEF55-B6B9-49A8-BF4C-383FDCCE63C2}">
            <xm:f>+IF(Anagrafica!$G$2="Capo III",1,0)</xm:f>
            <x14:dxf>
              <font>
                <b/>
                <i val="0"/>
              </font>
              <fill>
                <patternFill>
                  <bgColor theme="8" tint="0.59996337778862885"/>
                </patternFill>
              </fill>
              <border>
                <top style="thin">
                  <color auto="1"/>
                </top>
                <bottom style="thin">
                  <color auto="1"/>
                </bottom>
              </border>
            </x14:dxf>
          </x14:cfRule>
          <xm:sqref>B114</xm:sqref>
        </x14:conditionalFormatting>
        <x14:conditionalFormatting xmlns:xm="http://schemas.microsoft.com/office/excel/2006/main">
          <x14:cfRule type="expression" priority="17" id="{14F9598C-B8FA-4719-AE7C-64E5A3DF45D0}">
            <xm:f>+IF(Anagrafica!$G$2="Capo III",1,0)</xm:f>
            <x14:dxf>
              <fill>
                <patternFill>
                  <bgColor theme="8" tint="0.59996337778862885"/>
                </patternFill>
              </fill>
            </x14:dxf>
          </x14:cfRule>
          <xm:sqref>C114:J114</xm:sqref>
        </x14:conditionalFormatting>
        <x14:conditionalFormatting xmlns:xm="http://schemas.microsoft.com/office/excel/2006/main">
          <x14:cfRule type="expression" priority="12" id="{54D4DBB5-AA4F-49DF-991F-E6126803FE7C}">
            <xm:f>+IF(Anagrafica!$G$2="Capo III",1,0)</xm:f>
            <x14:dxf>
              <font>
                <color theme="0"/>
              </font>
              <fill>
                <patternFill>
                  <fgColor theme="0"/>
                  <bgColor theme="0"/>
                </patternFill>
              </fill>
              <border>
                <left/>
                <right/>
                <top/>
                <bottom/>
                <vertical/>
                <horizontal/>
              </border>
            </x14:dxf>
          </x14:cfRule>
          <xm:sqref>B115:J118</xm:sqref>
        </x14:conditionalFormatting>
        <x14:conditionalFormatting xmlns:xm="http://schemas.microsoft.com/office/excel/2006/main">
          <x14:cfRule type="expression" priority="11" id="{BBC6C66C-814D-49B1-9A68-B0D44DD9C68B}">
            <xm:f>+IF(Anagrafica!$G$2="Capo III",1,0)</xm:f>
            <x14:dxf>
              <border>
                <left/>
                <right/>
                <top style="thin">
                  <color auto="1"/>
                </top>
                <bottom/>
                <vertical/>
                <horizontal/>
              </border>
            </x14:dxf>
          </x14:cfRule>
          <xm:sqref>B115:J115</xm:sqref>
        </x14:conditionalFormatting>
        <x14:conditionalFormatting xmlns:xm="http://schemas.microsoft.com/office/excel/2006/main">
          <x14:cfRule type="expression" priority="10" id="{1DBF5BE4-699E-44CE-8EF7-6A41A0E646D2}">
            <xm:f>IF(Anagrafica!$C$38&lt;=150000,1,0)</xm:f>
            <x14:dxf>
              <font>
                <color theme="0"/>
              </font>
              <fill>
                <patternFill>
                  <bgColor theme="0"/>
                </patternFill>
              </fill>
              <border>
                <left/>
                <right/>
                <top/>
                <bottom/>
              </border>
            </x14:dxf>
          </x14:cfRule>
          <xm:sqref>B31:I34</xm:sqref>
        </x14:conditionalFormatting>
        <x14:conditionalFormatting xmlns:xm="http://schemas.microsoft.com/office/excel/2006/main">
          <x14:cfRule type="expression" priority="3" id="{A5CB9791-3351-46CE-A103-2C458AC6F56E}">
            <xm:f>+IF(Anagrafica!$C$42&lt;&gt;"n.a.",1,0)</xm:f>
            <x14:dxf>
              <border>
                <top style="dashed">
                  <color auto="1"/>
                </top>
                <vertical/>
                <horizontal/>
              </border>
            </x14:dxf>
          </x14:cfRule>
          <x14:cfRule type="expression" priority="8" id="{CEBA190B-3E1D-464B-8844-BA7B63BD045E}">
            <xm:f>+IF(Anagrafica!$C$42="n.a.",1,0)</xm:f>
            <x14:dxf>
              <font>
                <color theme="0"/>
              </font>
              <fill>
                <patternFill>
                  <bgColor theme="0"/>
                </patternFill>
              </fill>
              <border>
                <left/>
                <right/>
              </border>
            </x14:dxf>
          </x14:cfRule>
          <xm:sqref>B38:I38</xm:sqref>
        </x14:conditionalFormatting>
        <x14:conditionalFormatting xmlns:xm="http://schemas.microsoft.com/office/excel/2006/main">
          <x14:cfRule type="expression" priority="7" id="{732E4162-4727-495F-B8A3-9053C4147BE9}">
            <xm:f>+IF(AND(Anagrafica!$C$41="n.a.",Anagrafica!$C$42="n.a."),1,0)</xm:f>
            <x14:dxf>
              <font>
                <color theme="0"/>
              </font>
              <fill>
                <patternFill>
                  <bgColor theme="0"/>
                </patternFill>
              </fill>
              <border>
                <left/>
                <right/>
                <bottom/>
                <vertical/>
                <horizontal/>
              </border>
            </x14:dxf>
          </x14:cfRule>
          <xm:sqref>B35:I38</xm:sqref>
        </x14:conditionalFormatting>
        <x14:conditionalFormatting xmlns:xm="http://schemas.microsoft.com/office/excel/2006/main">
          <x14:cfRule type="expression" priority="2" id="{B54E6294-D024-4FE5-9ABA-0FB1D2B39709}">
            <xm:f>+IF(AND(Anagrafica!$C$41="n.a.",Anagrafica!$C$42="n.a."),1,0)</xm:f>
            <x14:dxf>
              <font>
                <color theme="0"/>
              </font>
              <fill>
                <patternFill>
                  <bgColor theme="0"/>
                </patternFill>
              </fill>
              <border>
                <left/>
                <right/>
                <top/>
                <bottom/>
                <vertical/>
                <horizontal/>
              </border>
            </x14:dxf>
          </x14:cfRule>
          <xm:sqref>B27:J29</xm:sqref>
        </x14:conditionalFormatting>
        <x14:conditionalFormatting xmlns:xm="http://schemas.microsoft.com/office/excel/2006/main">
          <x14:cfRule type="expression" priority="1" id="{5A18BC61-D237-427B-818B-5360E793A115}">
            <xm:f>+IF(Anagrafica!$C$42="n.a.",1,0)</xm:f>
            <x14:dxf>
              <font>
                <color theme="0"/>
              </font>
              <fill>
                <patternFill>
                  <bgColor theme="0"/>
                </patternFill>
              </fill>
              <border>
                <right/>
                <bottom/>
              </border>
            </x14:dxf>
          </x14:cfRule>
          <xm:sqref>C29:J29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E46FD1B3-2D56-41B1-B9DF-5AECBBDCF909}">
          <x14:formula1>
            <xm:f>IF('Dati riepilogativi'!$B$2="Capo II",CAPOII_Att,CapoIII_ATT)</xm:f>
          </x14:formula1>
          <xm:sqref>J72:J75</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21E54-A092-4512-94A0-94277757A707}">
  <sheetPr codeName="Foglio37"/>
  <dimension ref="B2:U13"/>
  <sheetViews>
    <sheetView topLeftCell="B1" workbookViewId="0">
      <selection activeCell="AM24" sqref="AM24"/>
    </sheetView>
  </sheetViews>
  <sheetFormatPr defaultRowHeight="14.5" x14ac:dyDescent="0.35"/>
  <cols>
    <col min="2" max="2" width="15.54296875" customWidth="1"/>
    <col min="3" max="4" width="12.81640625" customWidth="1"/>
    <col min="6" max="7" width="9" bestFit="1" customWidth="1"/>
    <col min="8" max="8" width="11.1796875" customWidth="1"/>
    <col min="9" max="9" width="11" customWidth="1"/>
    <col min="10" max="10" width="18.81640625" customWidth="1"/>
    <col min="11" max="11" width="12.54296875" customWidth="1"/>
    <col min="12" max="12" width="13.7265625" customWidth="1"/>
    <col min="13" max="13" width="14.1796875" customWidth="1"/>
    <col min="14" max="14" width="12.26953125" customWidth="1"/>
    <col min="15" max="15" width="11.453125" customWidth="1"/>
    <col min="16" max="16" width="9.26953125" bestFit="1" customWidth="1"/>
    <col min="18" max="18" width="19.1796875" customWidth="1"/>
    <col min="19" max="19" width="13.81640625" customWidth="1"/>
    <col min="20" max="20" width="12.26953125" bestFit="1" customWidth="1"/>
    <col min="21" max="21" width="20.1796875" bestFit="1" customWidth="1"/>
  </cols>
  <sheetData>
    <row r="2" spans="2:21" ht="15" thickBot="1" x14ac:dyDescent="0.4">
      <c r="B2" s="989"/>
      <c r="C2" s="989"/>
      <c r="D2" s="989"/>
      <c r="E2" s="989"/>
      <c r="F2" s="989"/>
      <c r="G2" s="989"/>
      <c r="H2" s="989"/>
      <c r="I2" s="989"/>
      <c r="J2" s="989"/>
      <c r="K2" s="989"/>
    </row>
    <row r="3" spans="2:21" ht="15" thickBot="1" x14ac:dyDescent="0.4">
      <c r="B3" s="989"/>
      <c r="C3" s="2202" t="s">
        <v>2245</v>
      </c>
      <c r="D3" s="2203"/>
      <c r="E3" s="2204" t="s">
        <v>2246</v>
      </c>
      <c r="F3" s="2205"/>
      <c r="G3" s="2205"/>
      <c r="H3" s="2205"/>
      <c r="I3" s="2206"/>
      <c r="J3" s="989"/>
      <c r="K3" s="989"/>
    </row>
    <row r="4" spans="2:21" ht="58" thickBot="1" x14ac:dyDescent="0.4">
      <c r="B4" s="1088" t="s">
        <v>2067</v>
      </c>
      <c r="C4" s="999" t="s">
        <v>2068</v>
      </c>
      <c r="D4" s="1081" t="s">
        <v>2069</v>
      </c>
      <c r="E4" s="1074" t="s">
        <v>2247</v>
      </c>
      <c r="F4" s="1000" t="s">
        <v>2226</v>
      </c>
      <c r="G4" s="1025" t="s">
        <v>2069</v>
      </c>
      <c r="H4" s="1000" t="s">
        <v>2248</v>
      </c>
      <c r="I4" s="1081" t="s">
        <v>2249</v>
      </c>
      <c r="J4" s="1081" t="s">
        <v>2250</v>
      </c>
      <c r="K4" s="1191" t="s">
        <v>2257</v>
      </c>
      <c r="L4" s="1000" t="s">
        <v>2258</v>
      </c>
      <c r="M4" s="1000" t="s">
        <v>2259</v>
      </c>
      <c r="N4" s="1000" t="s">
        <v>2260</v>
      </c>
      <c r="O4" s="1000" t="s">
        <v>2261</v>
      </c>
      <c r="R4" s="1194" t="s">
        <v>402</v>
      </c>
      <c r="S4" s="1194" t="s">
        <v>2069</v>
      </c>
      <c r="T4" s="1194" t="s">
        <v>2262</v>
      </c>
      <c r="U4" s="1194" t="s">
        <v>2263</v>
      </c>
    </row>
    <row r="5" spans="2:21" ht="44" thickBot="1" x14ac:dyDescent="0.4">
      <c r="B5" s="1089" t="str">
        <f>+IF(Anagrafica!$G$2="Capo II","Opere murarie e assimilate","Acquisto immobile sede dell'attività")</f>
        <v>Acquisto immobile sede dell'attività</v>
      </c>
      <c r="C5" s="1101">
        <f ca="1">+'1 SAL'!C110</f>
        <v>0</v>
      </c>
      <c r="D5" s="1101">
        <f ca="1">+'1 SAL'!D110</f>
        <v>0</v>
      </c>
      <c r="E5" s="1098" t="e" cm="1">
        <f t="array" aca="1" ref="E5" ca="1">+SUMIF(Categoriesal1,B5,Imponibilesal1)</f>
        <v>#REF!</v>
      </c>
      <c r="F5" s="1009" t="e" cm="1">
        <f t="array" aca="1" ref="F5" ca="1">+SUMIF(Categoriesal1,B5,Realizzatosal1)</f>
        <v>#REF!</v>
      </c>
      <c r="G5" s="1009" t="e" cm="1">
        <f t="array" aca="1" ref="G5" ca="1">+SUMIF(Categoriesal1,B5,Ammessosal1)</f>
        <v>#REF!</v>
      </c>
      <c r="H5" s="1009" t="str">
        <f ca="1">IFERROR(+G5*Anagrafica!F38,"")</f>
        <v/>
      </c>
      <c r="I5" s="1204">
        <v>0</v>
      </c>
      <c r="J5" s="1110" t="e">
        <f ca="1">+IF(C5-F5&lt;0,0,C5-F5)</f>
        <v>#REF!</v>
      </c>
      <c r="K5" s="1192">
        <f ca="1">SUMIF(R:R,B5,U:U)</f>
        <v>0</v>
      </c>
      <c r="L5" s="1214">
        <v>0</v>
      </c>
      <c r="M5" s="264" t="e">
        <f ca="1">+K5*Anagrafica!$F$38</f>
        <v>#DIV/0!</v>
      </c>
      <c r="N5" s="264">
        <f>+I5-L5</f>
        <v>0</v>
      </c>
      <c r="O5" s="264" t="e">
        <f ca="1">+H5-M5</f>
        <v>#VALUE!</v>
      </c>
      <c r="R5" t="str" cm="1">
        <f t="array" aca="1" ref="R5:R8" ca="1">+Categoriesal1</f>
        <v>Programmi informatici, brevetti, licenze e marchi</v>
      </c>
      <c r="S5" t="e" cm="1">
        <f t="array" aca="1" ref="S5" ca="1">+Ammessosal1</f>
        <v>#REF!</v>
      </c>
      <c r="T5" t="e" cm="1">
        <f t="array" aca="1" ref="T5" ca="1">+Quietanzasal1</f>
        <v>#REF!</v>
      </c>
      <c r="U5" t="e" cm="1">
        <f t="array" aca="1" ref="U5" ca="1">IF(+Quietanzasal1="si",1,0)*Ammessosal1</f>
        <v>#REF!</v>
      </c>
    </row>
    <row r="6" spans="2:21" ht="29.5" thickBot="1" x14ac:dyDescent="0.4">
      <c r="B6" s="1090" t="str">
        <f>+IF(Anagrafica!$G$2="Capo II","Macchinari, impianti ed attrezzature","Opere murarie e assimilate")</f>
        <v>Opere murarie e assimilate</v>
      </c>
      <c r="C6" s="1101">
        <f ca="1">+'1 SAL'!C111</f>
        <v>0</v>
      </c>
      <c r="D6" s="1101">
        <f>+'1 SAL'!D111</f>
        <v>0</v>
      </c>
      <c r="E6" s="1098" cm="1">
        <f t="array" aca="1" ref="E6" ca="1">IFERROR(+SUMIF(Categoriesal1,B6,Imponibilesal1),0)</f>
        <v>0</v>
      </c>
      <c r="F6" s="1010" t="e" cm="1">
        <f t="array" aca="1" ref="F6" ca="1">+SUMIF(Categoriesal1,B6,Realizzatosal1)</f>
        <v>#REF!</v>
      </c>
      <c r="G6" s="1010" t="e" cm="1">
        <f t="array" aca="1" ref="G6" ca="1">+SUMIF(Categoriesal1,B6,Ammessosal1)</f>
        <v>#REF!</v>
      </c>
      <c r="H6" s="1010" t="e">
        <f ca="1">+IF(Anagrafica!$G$2="Capo II",(G6*Anagrafica!$F$38-I6),G6*Anagrafica!$F$38)</f>
        <v>#REF!</v>
      </c>
      <c r="I6" s="1190">
        <f ca="1">+IFERROR((G6/'Calcolo contributo CAPO II'!$C$23)*Anagrafica!$C$37,0)</f>
        <v>0</v>
      </c>
      <c r="J6" s="1107" t="e">
        <f t="shared" ref="J6:J10" ca="1" si="0">+IF(C6-F6&lt;0,0,C6-F6)</f>
        <v>#REF!</v>
      </c>
      <c r="K6" s="1192">
        <f ca="1">SUMIF(R:R,B6,U:U)</f>
        <v>0</v>
      </c>
      <c r="L6" s="779">
        <f ca="1">+IFERROR((K6/'Calcolo contributo CAPO II'!$C$23)*Anagrafica!$C$37,0)</f>
        <v>0</v>
      </c>
      <c r="M6" s="779" t="e">
        <f ca="1">+IF(Anagrafica!$G$2="Capo II",(K6*Anagrafica!$F$38-L6),K6*Anagrafica!$F$38)</f>
        <v>#DIV/0!</v>
      </c>
      <c r="N6" s="264">
        <f ca="1">+I6-L6</f>
        <v>0</v>
      </c>
      <c r="O6" s="264" t="e">
        <f ca="1">+H6-M6</f>
        <v>#REF!</v>
      </c>
      <c r="R6" t="str">
        <f ca="1"/>
        <v>Opere murarie e assimilate</v>
      </c>
    </row>
    <row r="7" spans="2:21" ht="60.65" customHeight="1" thickBot="1" x14ac:dyDescent="0.4">
      <c r="B7" s="1091" t="str">
        <f>+IF(Anagrafica!$G$2="Capo II","Programmi informatici e servizi per le tecnologie dell’informazione e della comunicazione","Macchinari, impianti ed attrezzature")</f>
        <v>Macchinari, impianti ed attrezzature</v>
      </c>
      <c r="C7" s="1101">
        <f ca="1">+'1 SAL'!C112</f>
        <v>10000</v>
      </c>
      <c r="D7" s="1101">
        <f>+'1 SAL'!D112</f>
        <v>0</v>
      </c>
      <c r="E7" s="1098" t="e" cm="1">
        <f t="array" aca="1" ref="E7" ca="1">+SUMIF(Categoriesal1,B7,Imponibilesal1)</f>
        <v>#REF!</v>
      </c>
      <c r="F7" s="1010" t="e" cm="1">
        <f t="array" aca="1" ref="F7" ca="1">+SUMIF(Categoriesal1,B7,Realizzatosal1)</f>
        <v>#REF!</v>
      </c>
      <c r="G7" s="1010" t="e" cm="1">
        <f t="array" aca="1" ref="G7" ca="1">+SUMIF(Categoriesal1,B7,Ammessosal1)</f>
        <v>#REF!</v>
      </c>
      <c r="H7" s="1010" t="e">
        <f ca="1">+(G7*Anagrafica!$F$38-I7)</f>
        <v>#REF!</v>
      </c>
      <c r="I7" s="1016" t="e">
        <f ca="1">IF(Anagrafica!$G$2="Capo II",(G7/'Calcolo contributo CAPO II'!$C$23)*Anagrafica!$C$37,G7/(GBER!$C$11+GBER!$C$13)*Anagrafica!$C$37)</f>
        <v>#REF!</v>
      </c>
      <c r="J7" s="1107" t="e">
        <f t="shared" ca="1" si="0"/>
        <v>#REF!</v>
      </c>
      <c r="K7" s="1192">
        <f t="shared" ref="K7:K8" ca="1" si="1">SUMIF(R:R,B7,U:U)</f>
        <v>0</v>
      </c>
      <c r="L7" s="264" t="e">
        <f ca="1">IF(Anagrafica!$G$2="Capo II",(K7/'Calcolo contributo CAPO II'!$C$23)*Anagrafica!$C$37,K7/(GBER!$C$11+GBER!$C$13)*Anagrafica!$C$37)</f>
        <v>#DIV/0!</v>
      </c>
      <c r="M7" s="264" t="e">
        <f ca="1">+(K7*Anagrafica!$F$38-L7)</f>
        <v>#DIV/0!</v>
      </c>
      <c r="N7" s="264" t="e">
        <f t="shared" ref="N7:N8" ca="1" si="2">+I7-L7</f>
        <v>#REF!</v>
      </c>
      <c r="O7" s="264" t="e">
        <f ca="1">+H7-M7</f>
        <v>#REF!</v>
      </c>
      <c r="R7" t="str">
        <f ca="1"/>
        <v>Oneri notarili connessi alla stipula del contratto di finanziamento ed oneri connessi alla costituzione della società</v>
      </c>
    </row>
    <row r="8" spans="2:21" ht="54.65" customHeight="1" thickBot="1" x14ac:dyDescent="0.4">
      <c r="B8" s="1091" t="str">
        <f>+IF(Anagrafica!$G$2="Capo II","Acquisto di brevetti o acquisizione di relative licenze d’uso","Programmi informatici, brevetti, licenze e marchi")</f>
        <v>Programmi informatici, brevetti, licenze e marchi</v>
      </c>
      <c r="C8" s="1101">
        <f ca="1">+'1 SAL'!C113</f>
        <v>0</v>
      </c>
      <c r="D8" s="1101">
        <f ca="1">+'1 SAL'!D113</f>
        <v>0</v>
      </c>
      <c r="E8" s="1098" t="e" cm="1">
        <f t="array" aca="1" ref="E8" ca="1">+SUMIF(Categoriesal1,B8,Imponibilesal1)</f>
        <v>#REF!</v>
      </c>
      <c r="F8" s="1010" t="e" cm="1">
        <f t="array" aca="1" ref="F8" ca="1">+SUMIF(Categoriesal1,B8,Realizzatosal1)</f>
        <v>#REF!</v>
      </c>
      <c r="G8" s="1010" t="e" cm="1">
        <f t="array" aca="1" ref="G8" ca="1">+SUMIF(Categoriesal1,B8,Ammessosal1)</f>
        <v>#REF!</v>
      </c>
      <c r="H8" s="1010" t="e">
        <f ca="1">+G8*Anagrafica!$F$38-I8</f>
        <v>#REF!</v>
      </c>
      <c r="I8" s="1016" t="e">
        <f ca="1">IF(Anagrafica!$G$2="Capo II",(G8/'Calcolo contributo CAPO II'!$C$23)*Anagrafica!$C$37,G8/(GBER!$C$11+GBER!$C$13)*Anagrafica!$C$37)</f>
        <v>#REF!</v>
      </c>
      <c r="J8" s="1107" t="e">
        <f t="shared" ca="1" si="0"/>
        <v>#REF!</v>
      </c>
      <c r="K8" s="1192" t="e">
        <f t="shared" ca="1" si="1"/>
        <v>#REF!</v>
      </c>
      <c r="L8" s="264" t="e">
        <f ca="1">IF(Anagrafica!$G$2="Capo II",(K8/'Calcolo contributo CAPO II'!$C$23)*Anagrafica!$C$37,K8/(GBER!$C$11+GBER!$C$13)*Anagrafica!$C$37)</f>
        <v>#REF!</v>
      </c>
      <c r="M8" s="264" t="e">
        <f ca="1">+(K8*Anagrafica!$F$38-L8)</f>
        <v>#REF!</v>
      </c>
      <c r="N8" s="264" t="e">
        <f t="shared" ca="1" si="2"/>
        <v>#REF!</v>
      </c>
      <c r="O8" s="264" t="e">
        <f ca="1">+H8-M8</f>
        <v>#REF!</v>
      </c>
      <c r="R8" t="str">
        <f ca="1"/>
        <v>Programmi informatici e servizi per le tecnologie dell’informazione e della comunicazione</v>
      </c>
    </row>
    <row r="9" spans="2:21" ht="29.5" customHeight="1" thickBot="1" x14ac:dyDescent="0.4">
      <c r="B9" s="1091" t="str">
        <f>+IF(Anagrafica!$G$2="Capo II","Consulenze specialistiche","TOTALE PROGRAMMA DI SPESA")</f>
        <v>TOTALE PROGRAMMA DI SPESA</v>
      </c>
      <c r="C9" s="1101">
        <f ca="1">+'1 SAL'!C114</f>
        <v>10000</v>
      </c>
      <c r="D9" s="1101">
        <f ca="1">+'1 SAL'!D114</f>
        <v>0</v>
      </c>
      <c r="E9" s="1098" t="e" cm="1">
        <f t="array" aca="1" ref="E9" ca="1">IF(Anagrafica!$G$2="Capo II",+SUMIF(Categoriesal1,B9,Imponibilesal1),SUM(E5:E8))</f>
        <v>#REF!</v>
      </c>
      <c r="F9" s="1010" t="e" cm="1">
        <f t="array" aca="1" ref="F9" ca="1">+IF(Anagrafica!$G$2="Capo II",+SUMIF(Categoriesal1,B9,Realizzatosal1),SUM(F5:F8))</f>
        <v>#REF!</v>
      </c>
      <c r="G9" s="1010" t="e" cm="1">
        <f t="array" aca="1" ref="G9" ca="1">IF(Anagrafica!$G$2="Capo II",+SUMIF(Categoriesal1,B9,Ammessosal1),SUM(G5:G8))</f>
        <v>#REF!</v>
      </c>
      <c r="H9" s="1010">
        <f ca="1">IFERROR(IF(Anagrafica!$G$2="Capo II",+G9*Anagrafica!$F$38,SUM(H5:H8)),0)</f>
        <v>0</v>
      </c>
      <c r="I9" s="1016">
        <f ca="1">IFERROR(IF(Anagrafica!$G$2="Capo II",0,SUM(I5:I8)),0)</f>
        <v>0</v>
      </c>
      <c r="J9" s="1107" t="e">
        <f t="shared" ca="1" si="0"/>
        <v>#REF!</v>
      </c>
      <c r="K9" s="1192" t="e">
        <f ca="1">IF(Anagrafica!$G$2="Capo II",SUMIF(R:R,B9,U:U),SUM(K5:K8))</f>
        <v>#REF!</v>
      </c>
      <c r="L9" s="264">
        <f ca="1">IFERROR(IF(Anagrafica!$G$2="Capo II",0,SUM(L5:L8)),0)</f>
        <v>0</v>
      </c>
      <c r="M9" s="264">
        <f ca="1">IFERROR(IF(Anagrafica!$G$2="Capo II",+K9*Anagrafica!$F$38,SUM(M5:M8)),0)</f>
        <v>0</v>
      </c>
      <c r="N9" s="264">
        <f ca="1">IFERROR(IF(Anagrafica!$G$2="Capo II",+I9-L9,SUM(N5:N8)),0)</f>
        <v>0</v>
      </c>
      <c r="O9" s="264">
        <f ca="1">+IFERROR(IF(Anagrafica!$G$2="Capo II",+H9-M9,SUM(O5:O8)),0)</f>
        <v>0</v>
      </c>
    </row>
    <row r="10" spans="2:21" ht="54" customHeight="1" thickBot="1" x14ac:dyDescent="0.4">
      <c r="B10" s="1092" t="str">
        <f>+IF(Anagrafica!$G$2="Capo II","Oneri notarili connessi alla stipula del contratto di finanziamento ed oneri connessi alla costituzione della società","")</f>
        <v/>
      </c>
      <c r="C10" s="1101" t="str">
        <f>+'1 SAL'!C115</f>
        <v/>
      </c>
      <c r="D10" s="1101" t="str">
        <f>+'1 SAL'!D115</f>
        <v/>
      </c>
      <c r="E10" s="1098" t="e" cm="1">
        <f t="array" aca="1" ref="E10" ca="1">+SUMIF(Categoriesal1,B10,Imponibilesal1)</f>
        <v>#REF!</v>
      </c>
      <c r="F10" s="1011" t="e" cm="1">
        <f t="array" aca="1" ref="F10" ca="1">+SUMIF(Categoriesal1,B10,Realizzatosal1)</f>
        <v>#REF!</v>
      </c>
      <c r="G10" s="1011" t="e" cm="1">
        <f t="array" aca="1" ref="G10" ca="1">+SUMIF(Categoriesal1,B10,Ammessosal1)</f>
        <v>#REF!</v>
      </c>
      <c r="H10" s="1009" t="str">
        <f ca="1">IFERROR(+G10*Anagrafica!F38,"")</f>
        <v/>
      </c>
      <c r="I10" s="1205">
        <v>0</v>
      </c>
      <c r="J10" s="1111" t="e">
        <f t="shared" ca="1" si="0"/>
        <v>#VALUE!</v>
      </c>
      <c r="K10" s="1192">
        <f ca="1">SUMIF(R:R,B10,U:U)</f>
        <v>0</v>
      </c>
      <c r="L10" s="1206">
        <v>0</v>
      </c>
      <c r="M10" s="264" t="e">
        <f ca="1">K10*Anagrafica!$F$38</f>
        <v>#DIV/0!</v>
      </c>
      <c r="N10">
        <v>0</v>
      </c>
      <c r="O10">
        <v>0</v>
      </c>
    </row>
    <row r="11" spans="2:21" ht="15" thickBot="1" x14ac:dyDescent="0.4">
      <c r="B11" s="1093" t="str">
        <f>+IF(Anagrafica!$G$2="Capo II","TOTALE INVESTIMENTO","")</f>
        <v/>
      </c>
      <c r="C11" s="1101" t="str">
        <f>+'1 SAL'!C116</f>
        <v/>
      </c>
      <c r="D11" s="1101" t="str">
        <f>+'1 SAL'!D116</f>
        <v/>
      </c>
      <c r="E11" s="1099" t="e">
        <f t="shared" ref="E11" ca="1" si="3">+SUM(E5:E10)</f>
        <v>#REF!</v>
      </c>
      <c r="F11" s="1013" t="e">
        <f ca="1">+SUM(F5:F10)</f>
        <v>#REF!</v>
      </c>
      <c r="G11" s="1013" t="e">
        <f ca="1">+SUM(G5:G10)</f>
        <v>#REF!</v>
      </c>
      <c r="H11" s="1013" t="e">
        <f ca="1">+SUM(H5:H10)</f>
        <v>#REF!</v>
      </c>
      <c r="I11" s="1017" t="e">
        <f ca="1">+SUM(I5:I10)</f>
        <v>#REF!</v>
      </c>
      <c r="J11" s="1108" t="e">
        <f ca="1">+SUM(J5:J10)</f>
        <v>#REF!</v>
      </c>
      <c r="K11" s="1108" t="e">
        <f t="shared" ref="K11:O11" ca="1" si="4">+SUM(K5:K10)</f>
        <v>#REF!</v>
      </c>
      <c r="L11" s="1108" t="e">
        <f t="shared" ca="1" si="4"/>
        <v>#DIV/0!</v>
      </c>
      <c r="M11" s="1108" t="e">
        <f ca="1">+SUM(M5:M10)</f>
        <v>#DIV/0!</v>
      </c>
      <c r="N11" s="1195" t="e">
        <f ca="1">+SUM(N5:N10)</f>
        <v>#REF!</v>
      </c>
      <c r="O11" s="1195" t="e">
        <f t="shared" ca="1" si="4"/>
        <v>#VALUE!</v>
      </c>
    </row>
    <row r="12" spans="2:21" ht="15" thickBot="1" x14ac:dyDescent="0.4">
      <c r="B12" s="1092" t="str">
        <f>+IF(Anagrafica!$G$2="Capo II","Capitale circolante","")</f>
        <v/>
      </c>
      <c r="C12" s="1101">
        <f>+'1 SAL'!C117</f>
        <v>0</v>
      </c>
      <c r="D12" s="1101">
        <f>+'1 SAL'!D117</f>
        <v>0</v>
      </c>
      <c r="E12" s="1101">
        <f>+'1 SAL'!E117</f>
        <v>0</v>
      </c>
      <c r="F12" s="1101">
        <f>+'1 SAL'!F117</f>
        <v>0</v>
      </c>
      <c r="G12" s="1101">
        <f>+'1 SAL'!G117</f>
        <v>0</v>
      </c>
      <c r="H12" s="1101">
        <f ca="1">+'1 SAL'!H117</f>
        <v>0</v>
      </c>
      <c r="I12" s="1101">
        <f>+'1 SAL'!I117</f>
        <v>0</v>
      </c>
      <c r="J12" s="1101">
        <f>+'1 SAL'!J117</f>
        <v>0</v>
      </c>
      <c r="K12" s="1192"/>
    </row>
    <row r="13" spans="2:21" ht="15" thickBot="1" x14ac:dyDescent="0.4">
      <c r="B13" s="1093" t="str">
        <f>+IF(Anagrafica!$G$2="Capo II","TOTALE PROGRAMMA DI SPESA","")</f>
        <v/>
      </c>
      <c r="C13" s="1101" t="str">
        <f>+'1 SAL'!C118</f>
        <v/>
      </c>
      <c r="D13" s="1101" t="str">
        <f>+'1 SAL'!D118</f>
        <v/>
      </c>
      <c r="E13" s="1013" t="e">
        <f ca="1">+E11+E12</f>
        <v>#REF!</v>
      </c>
      <c r="F13" s="1013" t="e">
        <f ca="1">+F11+F12</f>
        <v>#REF!</v>
      </c>
      <c r="G13" s="1013" t="e">
        <f ca="1">+G11+G12</f>
        <v>#REF!</v>
      </c>
      <c r="H13" s="1013" t="e">
        <f ca="1">+H12+H11</f>
        <v>#REF!</v>
      </c>
      <c r="I13" s="1017" t="e">
        <f ca="1">+I11</f>
        <v>#REF!</v>
      </c>
      <c r="J13" s="1108" t="e">
        <f ca="1">+J12+J11</f>
        <v>#REF!</v>
      </c>
      <c r="K13" s="1193"/>
    </row>
  </sheetData>
  <mergeCells count="2">
    <mergeCell ref="C3:D3"/>
    <mergeCell ref="E3:I3"/>
  </mergeCell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5" id="{0C2CBCA3-C4AF-4187-9AB4-3A5E01656E86}">
            <xm:f>+IF(Anagrafica!$G$2="Capo III",1,0)</xm:f>
            <x14:dxf>
              <font>
                <b/>
                <i val="0"/>
              </font>
              <fill>
                <patternFill>
                  <bgColor theme="8" tint="0.59996337778862885"/>
                </patternFill>
              </fill>
              <border>
                <top style="thin">
                  <color auto="1"/>
                </top>
                <bottom style="thin">
                  <color auto="1"/>
                </bottom>
              </border>
            </x14:dxf>
          </x14:cfRule>
          <xm:sqref>B9</xm:sqref>
        </x14:conditionalFormatting>
        <x14:conditionalFormatting xmlns:xm="http://schemas.microsoft.com/office/excel/2006/main">
          <x14:cfRule type="expression" priority="4" id="{8BBABFD3-2898-47CC-A17C-CFB8453BFC51}">
            <xm:f>+IF(Anagrafica!$G$2="Capo III",1,0)</xm:f>
            <x14:dxf>
              <fill>
                <patternFill>
                  <bgColor theme="8" tint="0.59996337778862885"/>
                </patternFill>
              </fill>
            </x14:dxf>
          </x14:cfRule>
          <xm:sqref>E9:J9</xm:sqref>
        </x14:conditionalFormatting>
        <x14:conditionalFormatting xmlns:xm="http://schemas.microsoft.com/office/excel/2006/main">
          <x14:cfRule type="expression" priority="3" id="{169BAB46-A060-4D42-9D5A-810CC3808100}">
            <xm:f>+IF(Anagrafica!$G$2="Capo III",1,0)</xm:f>
            <x14:dxf>
              <font>
                <color theme="0"/>
              </font>
              <fill>
                <patternFill>
                  <fgColor theme="0"/>
                  <bgColor theme="0"/>
                </patternFill>
              </fill>
              <border>
                <left/>
                <right/>
                <top/>
                <bottom/>
                <vertical/>
                <horizontal/>
              </border>
            </x14:dxf>
          </x14:cfRule>
          <xm:sqref>E10:J10 E13:K13 K12 B10:B12 E11:O11</xm:sqref>
        </x14:conditionalFormatting>
        <x14:conditionalFormatting xmlns:xm="http://schemas.microsoft.com/office/excel/2006/main">
          <x14:cfRule type="expression" priority="2" id="{0C3EFADA-5EA3-46EE-9AEA-559A95BFC632}">
            <xm:f>+IF(Anagrafica!$G$2="Capo III",1,0)</xm:f>
            <x14:dxf>
              <border>
                <left/>
                <right/>
                <top style="thin">
                  <color auto="1"/>
                </top>
                <bottom/>
                <vertical/>
                <horizontal/>
              </border>
            </x14:dxf>
          </x14:cfRule>
          <xm:sqref>B10 E10:J10</xm:sqref>
        </x14:conditionalFormatting>
        <x14:conditionalFormatting xmlns:xm="http://schemas.microsoft.com/office/excel/2006/main">
          <x14:cfRule type="expression" priority="1" id="{9431DE6D-26EF-46EA-8758-B2DE99870BE2}">
            <xm:f>+IF(Anagrafica!$G$2="Capo III",1,0)</xm:f>
            <x14:dxf>
              <font>
                <color theme="0"/>
              </font>
              <fill>
                <patternFill>
                  <fgColor theme="0"/>
                  <bgColor theme="0"/>
                </patternFill>
              </fill>
              <border>
                <left/>
                <right/>
                <top/>
                <bottom/>
                <vertical/>
                <horizontal/>
              </border>
            </x14:dxf>
          </x14:cfRule>
          <xm:sqref>B13</xm:sqref>
        </x14:conditionalFormatting>
      </x14:conditionalFormattings>
    </ext>
  </extLs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5F5B2-6ECF-42CA-8AF9-1B24B90DDEF7}">
  <sheetPr codeName="Foglio24"/>
  <dimension ref="A1:O58"/>
  <sheetViews>
    <sheetView topLeftCell="A28" zoomScaleNormal="100" workbookViewId="0">
      <selection activeCell="B16" sqref="B16"/>
    </sheetView>
  </sheetViews>
  <sheetFormatPr defaultRowHeight="14.5" x14ac:dyDescent="0.35"/>
  <cols>
    <col min="1" max="1" width="9.1796875" style="902"/>
    <col min="2" max="2" width="20.7265625" style="902" customWidth="1"/>
    <col min="3" max="3" width="8" style="902" customWidth="1"/>
    <col min="4" max="5" width="10.453125" style="902" bestFit="1" customWidth="1"/>
    <col min="6" max="6" width="9.1796875" style="902"/>
    <col min="7" max="7" width="12" style="902" customWidth="1"/>
    <col min="8" max="8" width="17.453125" style="902" customWidth="1"/>
    <col min="12" max="12" width="13.26953125" bestFit="1" customWidth="1"/>
  </cols>
  <sheetData>
    <row r="1" spans="2:15" ht="15" thickBot="1" x14ac:dyDescent="0.4">
      <c r="B1" s="929" t="s">
        <v>2168</v>
      </c>
      <c r="C1" s="929"/>
      <c r="D1" s="929"/>
      <c r="E1" s="929"/>
      <c r="F1" s="929"/>
      <c r="G1" s="929"/>
      <c r="H1" s="929"/>
    </row>
    <row r="2" spans="2:15" ht="15" thickBot="1" x14ac:dyDescent="0.4">
      <c r="B2" s="2065" t="s">
        <v>2169</v>
      </c>
      <c r="C2" s="2066"/>
      <c r="D2" s="2067"/>
      <c r="E2" s="930" t="s">
        <v>2170</v>
      </c>
      <c r="F2" s="929"/>
      <c r="G2" s="929"/>
      <c r="H2" s="929"/>
    </row>
    <row r="3" spans="2:15" x14ac:dyDescent="0.35">
      <c r="B3" s="929"/>
      <c r="C3" s="929"/>
      <c r="D3" s="929"/>
      <c r="E3" s="929"/>
      <c r="F3" s="929"/>
      <c r="G3" s="929"/>
      <c r="H3" s="929"/>
    </row>
    <row r="4" spans="2:15" ht="15.5" x14ac:dyDescent="0.35">
      <c r="B4" s="903" t="str">
        <f>+CONCATENATE("Mandato di Erogazione 1° SAL PROT. ",C7)</f>
        <v>Mandato di Erogazione 1° SAL PROT. 0</v>
      </c>
      <c r="E4" s="931"/>
    </row>
    <row r="5" spans="2:15" x14ac:dyDescent="0.35">
      <c r="B5" s="902" t="s">
        <v>2171</v>
      </c>
    </row>
    <row r="6" spans="2:15" ht="15" thickBot="1" x14ac:dyDescent="0.4"/>
    <row r="7" spans="2:15" x14ac:dyDescent="0.35">
      <c r="B7" s="904" t="s">
        <v>2172</v>
      </c>
      <c r="C7" s="2068">
        <f>+Anagrafica!C2</f>
        <v>0</v>
      </c>
      <c r="D7" s="2068"/>
      <c r="E7" s="2068"/>
      <c r="F7" s="2068"/>
      <c r="G7" s="2068"/>
      <c r="H7" s="2069"/>
    </row>
    <row r="8" spans="2:15" x14ac:dyDescent="0.35">
      <c r="B8" s="905" t="s">
        <v>2173</v>
      </c>
      <c r="C8" s="2070">
        <f>+Anagrafica!C17</f>
        <v>0</v>
      </c>
      <c r="D8" s="2070"/>
      <c r="E8" s="2070"/>
      <c r="F8" s="2070"/>
      <c r="G8" s="2070"/>
      <c r="H8" s="2071"/>
    </row>
    <row r="9" spans="2:15" x14ac:dyDescent="0.35">
      <c r="B9" s="905" t="s">
        <v>2174</v>
      </c>
      <c r="C9" s="2070">
        <f>+Anagrafica!C18</f>
        <v>0</v>
      </c>
      <c r="D9" s="2070"/>
      <c r="E9" s="2070"/>
      <c r="F9" s="2070"/>
      <c r="G9" s="2070"/>
      <c r="H9" s="2071"/>
    </row>
    <row r="10" spans="2:15" x14ac:dyDescent="0.35">
      <c r="B10" s="905" t="s">
        <v>2175</v>
      </c>
      <c r="C10" s="2070">
        <f>+Anagrafica!C9</f>
        <v>0</v>
      </c>
      <c r="D10" s="2070"/>
      <c r="E10" s="2070"/>
      <c r="F10" s="2070"/>
      <c r="G10" s="2070"/>
      <c r="H10" s="2071"/>
      <c r="O10" s="1122"/>
    </row>
    <row r="11" spans="2:15" ht="29" x14ac:dyDescent="0.35">
      <c r="B11" s="1121" t="s">
        <v>2264</v>
      </c>
      <c r="C11" s="2223" t="str">
        <f>+Anagrafica!C24</f>
        <v>NIT2 - Fondo Unico - NIT 2.0</v>
      </c>
      <c r="D11" s="2224"/>
      <c r="E11" s="2224"/>
      <c r="F11" s="2224"/>
      <c r="G11" s="2224"/>
      <c r="H11" s="2225"/>
    </row>
    <row r="12" spans="2:15" ht="30.75" customHeight="1" thickBot="1" x14ac:dyDescent="0.4">
      <c r="B12" s="906" t="s">
        <v>2265</v>
      </c>
      <c r="C12" s="2220" t="str">
        <f>+Anagrafica!C25</f>
        <v>NIT2 - NIT 2.0 - Fondo perduto</v>
      </c>
      <c r="D12" s="2221"/>
      <c r="E12" s="2221"/>
      <c r="F12" s="2221"/>
      <c r="G12" s="2221"/>
      <c r="H12" s="2222"/>
    </row>
    <row r="14" spans="2:15" x14ac:dyDescent="0.35">
      <c r="B14" s="2074" t="e" cm="1">
        <f t="array" aca="1" ref="B14" ca="1">+IF(+COUNTIF(Quietanzasal1,"NO")&gt;0,"Vista la proposta effettuata dalla SU IMPR2 si autorizza l'erogazione del 1° SAL su fatture quietanzate e non","Vista la proposta effettuata dalla SU IMPR2 si autorizza l'erogazione del 1° SAL su fatture quietanzate")</f>
        <v>#REF!</v>
      </c>
      <c r="C14" s="2074"/>
      <c r="D14" s="2074"/>
      <c r="E14" s="2074"/>
      <c r="F14" s="2074"/>
      <c r="G14" s="2074"/>
      <c r="H14" s="2074"/>
    </row>
    <row r="15" spans="2:15" ht="21" customHeight="1" thickBot="1" x14ac:dyDescent="0.4">
      <c r="B15" s="2075"/>
      <c r="C15" s="2075"/>
      <c r="D15" s="2075"/>
      <c r="E15" s="2075"/>
      <c r="F15" s="2075"/>
      <c r="G15" s="2075"/>
      <c r="H15" s="2075"/>
      <c r="O15" s="1122"/>
    </row>
    <row r="16" spans="2:15" x14ac:dyDescent="0.35">
      <c r="B16" s="904" t="s">
        <v>2178</v>
      </c>
      <c r="C16" s="2076">
        <f ca="1">+'1 SAL'!F128</f>
        <v>0</v>
      </c>
      <c r="D16" s="2076"/>
      <c r="E16" s="2076"/>
      <c r="F16" s="2076"/>
      <c r="G16" s="2076"/>
      <c r="H16" s="2077"/>
      <c r="L16" s="813"/>
    </row>
    <row r="17" spans="2:8" ht="15" thickBot="1" x14ac:dyDescent="0.4">
      <c r="B17" s="2078" t="e" cm="1">
        <f t="array" aca="1" ref="B17" ca="1">+NumToLet(C16)</f>
        <v>#NAME?</v>
      </c>
      <c r="C17" s="2079"/>
      <c r="D17" s="2079"/>
      <c r="E17" s="2079"/>
      <c r="F17" s="2079"/>
      <c r="G17" s="2079"/>
      <c r="H17" s="2080"/>
    </row>
    <row r="18" spans="2:8" x14ac:dyDescent="0.35">
      <c r="B18" s="904" t="s">
        <v>2266</v>
      </c>
      <c r="C18" s="2076">
        <f ca="1">+'1 SAL'!F125-'1 SAL'!F126</f>
        <v>0</v>
      </c>
      <c r="D18" s="2076"/>
      <c r="E18" s="2076"/>
      <c r="F18" s="2076"/>
      <c r="G18" s="2076"/>
      <c r="H18" s="2077"/>
    </row>
    <row r="19" spans="2:8" ht="15" thickBot="1" x14ac:dyDescent="0.4">
      <c r="B19" s="2078" t="e" cm="1">
        <f t="array" aca="1" ref="B19" ca="1">+NumToLet(C18)</f>
        <v>#NAME?</v>
      </c>
      <c r="C19" s="2079"/>
      <c r="D19" s="2079"/>
      <c r="E19" s="2079"/>
      <c r="F19" s="2079"/>
      <c r="G19" s="2079"/>
      <c r="H19" s="2080"/>
    </row>
    <row r="20" spans="2:8" x14ac:dyDescent="0.35">
      <c r="B20" s="904" t="s">
        <v>2267</v>
      </c>
      <c r="C20" s="2076">
        <f ca="1">+'1 SAL'!F127</f>
        <v>0</v>
      </c>
      <c r="D20" s="2076"/>
      <c r="E20" s="2076"/>
      <c r="F20" s="2076"/>
      <c r="G20" s="2076"/>
      <c r="H20" s="2077"/>
    </row>
    <row r="21" spans="2:8" ht="15" thickBot="1" x14ac:dyDescent="0.4">
      <c r="B21" s="2078" t="e" cm="1">
        <f t="array" aca="1" ref="B21" ca="1">+NumToLet(C20)</f>
        <v>#NAME?</v>
      </c>
      <c r="C21" s="2079"/>
      <c r="D21" s="2079"/>
      <c r="E21" s="2079"/>
      <c r="F21" s="2079"/>
      <c r="G21" s="2079"/>
      <c r="H21" s="2080"/>
    </row>
    <row r="22" spans="2:8" ht="15" thickBot="1" x14ac:dyDescent="0.4">
      <c r="B22" s="907" t="s">
        <v>2179</v>
      </c>
    </row>
    <row r="23" spans="2:8" x14ac:dyDescent="0.35">
      <c r="B23" s="908" t="s">
        <v>1875</v>
      </c>
      <c r="C23" s="2081">
        <f>+Anagrafica!C6</f>
        <v>0</v>
      </c>
      <c r="D23" s="2081"/>
      <c r="E23" s="2081"/>
      <c r="F23" s="2081"/>
      <c r="G23" s="2081"/>
      <c r="H23" s="2082"/>
    </row>
    <row r="24" spans="2:8" x14ac:dyDescent="0.35">
      <c r="B24" s="909" t="s">
        <v>2180</v>
      </c>
      <c r="C24" s="2083">
        <f>+Anagrafica!C7</f>
        <v>0</v>
      </c>
      <c r="D24" s="2083"/>
      <c r="E24" s="2083"/>
      <c r="F24" s="2083"/>
      <c r="G24" s="2083"/>
      <c r="H24" s="2084"/>
    </row>
    <row r="25" spans="2:8" x14ac:dyDescent="0.35">
      <c r="B25" s="909" t="s">
        <v>628</v>
      </c>
      <c r="C25" s="2083" t="str">
        <f>+Anagrafica!C8</f>
        <v>ROMA</v>
      </c>
      <c r="D25" s="2083"/>
      <c r="E25" s="2083"/>
      <c r="F25" s="2083"/>
      <c r="G25" s="2083"/>
      <c r="H25" s="2084"/>
    </row>
    <row r="26" spans="2:8" x14ac:dyDescent="0.35">
      <c r="B26" s="909" t="s">
        <v>2181</v>
      </c>
      <c r="C26" s="2083">
        <f>+Anagrafica!H7</f>
        <v>0</v>
      </c>
      <c r="D26" s="2083"/>
      <c r="E26" s="2083"/>
      <c r="F26" s="2083"/>
      <c r="G26" s="2083"/>
      <c r="H26" s="2084"/>
    </row>
    <row r="27" spans="2:8" x14ac:dyDescent="0.35">
      <c r="B27" s="909" t="s">
        <v>630</v>
      </c>
      <c r="C27" s="2083" t="str">
        <f>+Anagrafica!H8</f>
        <v>RM</v>
      </c>
      <c r="D27" s="2083"/>
      <c r="E27" s="2083"/>
      <c r="F27" s="2083"/>
      <c r="G27" s="2083"/>
      <c r="H27" s="2084"/>
    </row>
    <row r="28" spans="2:8" x14ac:dyDescent="0.35">
      <c r="B28" s="909" t="s">
        <v>2182</v>
      </c>
      <c r="C28" s="2083">
        <f>+Anagrafica!C11</f>
        <v>0</v>
      </c>
      <c r="D28" s="2083"/>
      <c r="E28" s="2083"/>
      <c r="F28" s="2083"/>
      <c r="G28" s="2083"/>
      <c r="H28" s="2084"/>
    </row>
    <row r="29" spans="2:8" ht="15" thickBot="1" x14ac:dyDescent="0.4">
      <c r="B29" s="910" t="s">
        <v>2183</v>
      </c>
      <c r="C29" s="2085">
        <f>+Anagrafica!C10</f>
        <v>0</v>
      </c>
      <c r="D29" s="2085"/>
      <c r="E29" s="2085"/>
      <c r="F29" s="2085"/>
      <c r="G29" s="2085"/>
      <c r="H29" s="2086"/>
    </row>
    <row r="30" spans="2:8" x14ac:dyDescent="0.35">
      <c r="D30" s="911"/>
    </row>
    <row r="31" spans="2:8" ht="15" thickBot="1" x14ac:dyDescent="0.4">
      <c r="B31" s="907" t="s">
        <v>2184</v>
      </c>
      <c r="D31" s="911"/>
    </row>
    <row r="32" spans="2:8" x14ac:dyDescent="0.35">
      <c r="B32" s="908" t="s">
        <v>1875</v>
      </c>
      <c r="C32" s="2087" t="str">
        <f>+Anagrafica!C46</f>
        <v>BANCA SELLA</v>
      </c>
      <c r="D32" s="2087"/>
      <c r="E32" s="2087"/>
      <c r="F32" s="2087"/>
      <c r="G32" s="2087"/>
      <c r="H32" s="2088"/>
    </row>
    <row r="33" spans="1:14" x14ac:dyDescent="0.35">
      <c r="B33" s="909" t="s">
        <v>2097</v>
      </c>
      <c r="C33" s="2072" t="str">
        <f>+Anagrafica!C47</f>
        <v>AGENZIA 30</v>
      </c>
      <c r="D33" s="2072"/>
      <c r="E33" s="2072"/>
      <c r="F33" s="2072"/>
      <c r="G33" s="2072"/>
      <c r="H33" s="2073"/>
    </row>
    <row r="34" spans="1:14" ht="15" thickBot="1" x14ac:dyDescent="0.4">
      <c r="B34" s="912" t="s">
        <v>630</v>
      </c>
      <c r="C34" s="2217" t="str">
        <f>+Anagrafica!C48</f>
        <v>XXXXXXXXXXXXXX</v>
      </c>
      <c r="D34" s="2218"/>
      <c r="E34" s="2218"/>
      <c r="F34" s="2218"/>
      <c r="G34" s="2218"/>
      <c r="H34" s="2219"/>
    </row>
    <row r="35" spans="1:14" ht="15" thickBot="1" x14ac:dyDescent="0.4"/>
    <row r="36" spans="1:14" ht="15" thickBot="1" x14ac:dyDescent="0.4">
      <c r="A36" s="913"/>
      <c r="B36" s="913"/>
      <c r="C36" s="913"/>
      <c r="D36" s="914" t="s">
        <v>2088</v>
      </c>
      <c r="E36" s="915" t="s">
        <v>2089</v>
      </c>
      <c r="F36" s="915" t="s">
        <v>2090</v>
      </c>
      <c r="G36" s="915" t="s">
        <v>2091</v>
      </c>
      <c r="H36" s="916" t="s">
        <v>2092</v>
      </c>
    </row>
    <row r="37" spans="1:14" ht="15" thickBot="1" x14ac:dyDescent="0.4">
      <c r="A37" s="913"/>
      <c r="B37" s="914" t="s">
        <v>2093</v>
      </c>
      <c r="C37" s="917" t="s">
        <v>2094</v>
      </c>
      <c r="D37" s="918">
        <f>+Anagrafica!D50</f>
        <v>0</v>
      </c>
      <c r="E37" s="918">
        <f>+Anagrafica!E50</f>
        <v>0</v>
      </c>
      <c r="F37" s="918">
        <f>+Anagrafica!F50</f>
        <v>0</v>
      </c>
      <c r="G37" s="918">
        <f>+Anagrafica!G50</f>
        <v>0</v>
      </c>
      <c r="H37" s="919">
        <f>+Anagrafica!H50</f>
        <v>0</v>
      </c>
    </row>
    <row r="39" spans="1:14" ht="15" thickBot="1" x14ac:dyDescent="0.4">
      <c r="B39" s="612" t="str">
        <f ca="1">+IFERROR(CONCATENATE(TEXT($C$18,"€ #.##0,00")," ", "da addebitare sul conto corrente della Fonte Finanziaria:"),"")</f>
        <v>€ 0,00 da addebitare sul conto corrente della Fonte Finanziaria:</v>
      </c>
    </row>
    <row r="40" spans="1:14" ht="15" customHeight="1" x14ac:dyDescent="0.35">
      <c r="B40" s="920" t="s">
        <v>2096</v>
      </c>
      <c r="C40" s="2091" t="str">
        <f ca="1">+IFERROR(+IF($C$18=0,"",VLOOKUP($C$11,'Fonti e cc'!$A$2:$I$5,2)),"")</f>
        <v/>
      </c>
      <c r="D40" s="2091"/>
      <c r="E40" s="2092"/>
    </row>
    <row r="41" spans="1:14" ht="15" thickBot="1" x14ac:dyDescent="0.4">
      <c r="B41" s="921" t="s">
        <v>2097</v>
      </c>
      <c r="C41" s="922" t="str">
        <f ca="1">+IFERROR(IF($C$18=0,"",VLOOKUP($C$11,'Fonti e cc'!$A$2:$I$5,3)),"")</f>
        <v/>
      </c>
      <c r="D41" s="923" t="s">
        <v>2185</v>
      </c>
      <c r="E41" s="924" t="str">
        <f ca="1">+IFERROR(+IF($C$18=0,"","RM"),"")</f>
        <v/>
      </c>
    </row>
    <row r="42" spans="1:14" ht="15" thickBot="1" x14ac:dyDescent="0.4"/>
    <row r="43" spans="1:14" ht="15" thickBot="1" x14ac:dyDescent="0.4">
      <c r="B43" s="913"/>
      <c r="C43" s="913"/>
      <c r="D43" s="914" t="s">
        <v>2088</v>
      </c>
      <c r="E43" s="915" t="s">
        <v>2089</v>
      </c>
      <c r="F43" s="915" t="s">
        <v>2090</v>
      </c>
      <c r="G43" s="915" t="s">
        <v>2091</v>
      </c>
      <c r="H43" s="916" t="s">
        <v>2092</v>
      </c>
    </row>
    <row r="44" spans="1:14" ht="15" thickBot="1" x14ac:dyDescent="0.4">
      <c r="B44" s="914" t="s">
        <v>2093</v>
      </c>
      <c r="C44" s="917" t="s">
        <v>2094</v>
      </c>
      <c r="D44" s="918" t="str">
        <f ca="1">+IFERROR(+IF($C$18=0,"",VLOOKUP($C$11,'Fonti e cc'!$A$2:$I$5,5)),"")</f>
        <v/>
      </c>
      <c r="E44" s="918" t="str">
        <f ca="1">+IFERROR(+IF($C$18=0,"",VLOOKUP($C$11,'Fonti e cc'!$A$2:$I$5,6)),"")</f>
        <v/>
      </c>
      <c r="F44" s="918" t="str">
        <f ca="1">+IFERROR(+IF($C$18=0,"",VLOOKUP($C$11,'Fonti e cc'!$A$2:$I$5,7)),"")</f>
        <v/>
      </c>
      <c r="G44" s="918" t="str">
        <f ca="1">+IFERROR(+IF($C$18=0,"",VLOOKUP($C$11,'Fonti e cc'!$A$2:$I$5,8)),"")</f>
        <v/>
      </c>
      <c r="H44" s="919" t="str">
        <f ca="1">+IFERROR(+IF($C$18=0,"",VLOOKUP($C$11,'Fonti e cc'!$A$2:$I$5,9)),"")</f>
        <v/>
      </c>
      <c r="N44" s="1183"/>
    </row>
    <row r="46" spans="1:14" ht="15" thickBot="1" x14ac:dyDescent="0.4">
      <c r="B46" s="612" t="str">
        <f ca="1">+IFERROR(+CONCATENATE(TEXT($C$20,"€ #.##0,00")," ", "da addebitare sul conto corrente della Fonte Finanziaria:"),"")</f>
        <v>€ 0,00 da addebitare sul conto corrente della Fonte Finanziaria:</v>
      </c>
    </row>
    <row r="47" spans="1:14" ht="15" customHeight="1" x14ac:dyDescent="0.35">
      <c r="B47" s="920" t="s">
        <v>2096</v>
      </c>
      <c r="C47" s="2091" t="str">
        <f ca="1">+IFERROR(+IF($C$20=0,"",'Fonti e cc'!$B$6),"")</f>
        <v/>
      </c>
      <c r="D47" s="2091"/>
      <c r="E47" s="2092"/>
    </row>
    <row r="48" spans="1:14" ht="15" thickBot="1" x14ac:dyDescent="0.4">
      <c r="B48" s="921" t="s">
        <v>2097</v>
      </c>
      <c r="C48" s="922" t="str">
        <f ca="1">+IFERROR(+IF($C$20=0,"",'Fonti e cc'!$C$6),"")</f>
        <v/>
      </c>
      <c r="D48" s="923" t="s">
        <v>2185</v>
      </c>
      <c r="E48" s="924" t="str">
        <f ca="1">+IFERROR(+IF($C$20=0,"","MI"),"")</f>
        <v/>
      </c>
    </row>
    <row r="49" spans="2:8" ht="15" thickBot="1" x14ac:dyDescent="0.4"/>
    <row r="50" spans="2:8" ht="15" thickBot="1" x14ac:dyDescent="0.4">
      <c r="B50" s="913"/>
      <c r="C50" s="913"/>
      <c r="D50" s="914" t="s">
        <v>2088</v>
      </c>
      <c r="E50" s="915" t="s">
        <v>2089</v>
      </c>
      <c r="F50" s="915" t="s">
        <v>2090</v>
      </c>
      <c r="G50" s="915" t="s">
        <v>2091</v>
      </c>
      <c r="H50" s="916" t="s">
        <v>2092</v>
      </c>
    </row>
    <row r="51" spans="2:8" ht="15.75" customHeight="1" thickBot="1" x14ac:dyDescent="0.4">
      <c r="B51" s="914" t="s">
        <v>2093</v>
      </c>
      <c r="C51" s="917" t="s">
        <v>2094</v>
      </c>
      <c r="D51" s="918" t="str">
        <f ca="1">+IFERROR(+IF($C$20=0,"",'Fonti e cc'!$E$6),"")</f>
        <v/>
      </c>
      <c r="E51" s="918" t="str">
        <f ca="1">+IFERROR(+IF($C$20=0,"",'Fonti e cc'!$F$6),"")</f>
        <v/>
      </c>
      <c r="F51" s="918" t="str">
        <f ca="1">+IFERROR(+IF($C$20=0,"",'Fonti e cc'!$G$6),"")</f>
        <v/>
      </c>
      <c r="G51" s="918" t="str">
        <f ca="1">+IFERROR(+IF($C$20=0,"",'Fonti e cc'!$H$6),"")</f>
        <v/>
      </c>
      <c r="H51" s="919" t="str">
        <f ca="1">+IFERROR(+IF($C$20=0,"",'Fonti e cc'!$I$6),"")</f>
        <v/>
      </c>
    </row>
    <row r="52" spans="2:8" ht="15" thickBot="1" x14ac:dyDescent="0.4"/>
    <row r="53" spans="2:8" ht="15.75" customHeight="1" thickBot="1" x14ac:dyDescent="0.4">
      <c r="B53" s="2093" t="s">
        <v>2169</v>
      </c>
      <c r="C53" s="2094"/>
      <c r="D53" s="2094"/>
      <c r="E53" s="2094"/>
      <c r="F53" s="925" t="str">
        <f>+E2</f>
        <v>No</v>
      </c>
    </row>
    <row r="55" spans="2:8" x14ac:dyDescent="0.35">
      <c r="F55" s="2095" t="s">
        <v>2186</v>
      </c>
      <c r="G55" s="2095"/>
      <c r="H55" s="2095"/>
    </row>
    <row r="57" spans="2:8" x14ac:dyDescent="0.35">
      <c r="F57" s="2095" t="s">
        <v>2187</v>
      </c>
      <c r="G57" s="2095"/>
      <c r="H57" s="2095"/>
    </row>
    <row r="58" spans="2:8" x14ac:dyDescent="0.35">
      <c r="G58" s="902" t="s">
        <v>2186</v>
      </c>
    </row>
  </sheetData>
  <mergeCells count="29">
    <mergeCell ref="C12:H12"/>
    <mergeCell ref="B2:D2"/>
    <mergeCell ref="C7:H7"/>
    <mergeCell ref="C8:H8"/>
    <mergeCell ref="C9:H9"/>
    <mergeCell ref="C10:H10"/>
    <mergeCell ref="C11:H11"/>
    <mergeCell ref="C33:H33"/>
    <mergeCell ref="B14:H15"/>
    <mergeCell ref="C16:H16"/>
    <mergeCell ref="B17:H17"/>
    <mergeCell ref="C23:H23"/>
    <mergeCell ref="C24:H24"/>
    <mergeCell ref="C25:H25"/>
    <mergeCell ref="C26:H26"/>
    <mergeCell ref="C27:H27"/>
    <mergeCell ref="C28:H28"/>
    <mergeCell ref="C29:H29"/>
    <mergeCell ref="C32:H32"/>
    <mergeCell ref="C18:H18"/>
    <mergeCell ref="B19:H19"/>
    <mergeCell ref="C20:H20"/>
    <mergeCell ref="B21:H21"/>
    <mergeCell ref="C34:H34"/>
    <mergeCell ref="C40:E40"/>
    <mergeCell ref="F55:H55"/>
    <mergeCell ref="F57:H57"/>
    <mergeCell ref="C47:E47"/>
    <mergeCell ref="B53:E53"/>
  </mergeCells>
  <dataValidations count="8">
    <dataValidation type="list" allowBlank="1" showInputMessage="1" showErrorMessage="1" sqref="E2" xr:uid="{F53AECE2-53E9-4FDD-910A-29CD85CBF38B}">
      <formula1>"No,Si,"</formula1>
    </dataValidation>
    <dataValidation allowBlank="1" showInputMessage="1" showErrorMessage="1" promptTitle="Dato utile" prompt="Via e civico" sqref="C24:H24" xr:uid="{FAAFD7EE-FBE7-4297-9B78-2D3E5ED94042}"/>
    <dataValidation type="textLength" errorStyle="information" operator="equal" allowBlank="1" showInputMessage="1" showErrorMessage="1" errorTitle="Numero dati Sbagliati" error="Devono essere 5 cifre" sqref="F37:G37 F44:G44 F51:G51" xr:uid="{D7DC8F8A-A532-4A85-8CBD-542D883D9997}">
      <formula1>5</formula1>
    </dataValidation>
    <dataValidation type="textLength" errorStyle="information" operator="equal" allowBlank="1" showInputMessage="1" showErrorMessage="1" errorTitle="Numero dati Sbagliati" error="Deve essere 1 cifra" sqref="E37 E44 E51" xr:uid="{BB1148E8-B0DF-4FE3-9B79-A749A1B092CA}">
      <formula1>1</formula1>
    </dataValidation>
    <dataValidation type="textLength" errorStyle="information" operator="equal" allowBlank="1" showInputMessage="1" showErrorMessage="1" errorTitle="Numero dati Sbagliati" error="Devono essere 2 cifre" sqref="D37 D44 D51" xr:uid="{ED5E72EB-49C8-438E-8C7D-6A56AE5138B7}">
      <formula1>2</formula1>
    </dataValidation>
    <dataValidation type="textLength" errorStyle="information" operator="equal" allowBlank="1" showInputMessage="1" showErrorMessage="1" errorTitle="Numero dati Sbagliati" error="Devono essere 12 cifre_x000a_" sqref="H37 H44 H51" xr:uid="{98C747BD-3349-4196-BC88-16B3A47B4DD0}">
      <formula1>12</formula1>
    </dataValidation>
    <dataValidation type="textLength" errorStyle="information" operator="equal" allowBlank="1" showInputMessage="1" showErrorMessage="1" errorTitle="Numero dati sbagliato" error="Devono essere 11 cifre" sqref="C28:H29" xr:uid="{D857A151-10C5-4303-930F-AA3C95934F51}">
      <formula1>11</formula1>
    </dataValidation>
    <dataValidation type="textLength" errorStyle="information" operator="equal" allowBlank="1" showInputMessage="1" showErrorMessage="1" errorTitle="Numero dati sbagliato" error="Devono essere 5 cifre" sqref="C26:H26" xr:uid="{2F66BF6B-377F-416A-97BB-8B4ED8FBB59E}">
      <formula1>5</formula1>
    </dataValidation>
  </dataValidations>
  <pageMargins left="0.7" right="0.7" top="0.75" bottom="0.75" header="0.3" footer="0.3"/>
  <pageSetup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8785" r:id="rId4" name="Button 1">
              <controlPr defaultSize="0" print="0" autoFill="0" autoPict="0" macro="[0]!Mandato_1_SAL">
                <anchor moveWithCells="1" sizeWithCells="1">
                  <from>
                    <xdr:col>8</xdr:col>
                    <xdr:colOff>552450</xdr:colOff>
                    <xdr:row>0</xdr:row>
                    <xdr:rowOff>95250</xdr:rowOff>
                  </from>
                  <to>
                    <xdr:col>11</xdr:col>
                    <xdr:colOff>285750</xdr:colOff>
                    <xdr:row>4</xdr:row>
                    <xdr:rowOff>50800</xdr:rowOff>
                  </to>
                </anchor>
              </controlPr>
            </control>
          </mc:Choice>
        </mc:AlternateContent>
      </controls>
    </mc:Choice>
  </mc:AlternateConten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C6083-430F-4A48-B9D7-88CE28C2D763}">
  <sheetPr codeName="Foglio25"/>
  <dimension ref="A1:W182"/>
  <sheetViews>
    <sheetView topLeftCell="A40" workbookViewId="0">
      <selection activeCell="B16" sqref="B16"/>
    </sheetView>
  </sheetViews>
  <sheetFormatPr defaultRowHeight="14.5" x14ac:dyDescent="0.35"/>
  <cols>
    <col min="1" max="1" width="3.453125" customWidth="1"/>
    <col min="2" max="2" width="27" customWidth="1"/>
    <col min="3" max="3" width="14.7265625" customWidth="1"/>
    <col min="4" max="4" width="14.7265625" bestFit="1" customWidth="1"/>
    <col min="5" max="5" width="15.453125" customWidth="1"/>
    <col min="6" max="6" width="14.7265625" customWidth="1"/>
    <col min="7" max="7" width="15.81640625" customWidth="1"/>
    <col min="8" max="8" width="14.453125" customWidth="1"/>
    <col min="9" max="9" width="16.1796875" customWidth="1"/>
    <col min="10" max="10" width="19.7265625" customWidth="1"/>
    <col min="11" max="11" width="40.453125" customWidth="1"/>
    <col min="12" max="12" width="16" customWidth="1"/>
    <col min="13" max="13" width="12.453125" customWidth="1"/>
    <col min="14" max="14" width="11.7265625" customWidth="1"/>
    <col min="15" max="15" width="11.54296875" customWidth="1"/>
    <col min="16" max="16" width="9.7265625" bestFit="1" customWidth="1"/>
    <col min="19" max="19" width="9.7265625" bestFit="1" customWidth="1"/>
    <col min="20" max="20" width="8.54296875" customWidth="1"/>
    <col min="21" max="21" width="9.1796875" style="989"/>
    <col min="16384" max="16384" width="9.1796875" bestFit="1" customWidth="1"/>
  </cols>
  <sheetData>
    <row r="1" spans="1:20" ht="15" thickBot="1" x14ac:dyDescent="0.4">
      <c r="A1" s="860"/>
      <c r="B1" s="860"/>
      <c r="C1" s="860"/>
      <c r="D1" s="860"/>
      <c r="E1" s="860"/>
      <c r="F1" s="860"/>
      <c r="G1" s="860"/>
      <c r="H1" s="860"/>
      <c r="I1" s="860"/>
      <c r="J1" s="860"/>
      <c r="K1" s="860"/>
      <c r="L1" s="989"/>
      <c r="M1" s="989"/>
      <c r="N1" s="989"/>
      <c r="O1" s="989"/>
      <c r="P1" s="989"/>
      <c r="Q1" s="989"/>
      <c r="R1" s="989"/>
      <c r="S1" s="989"/>
      <c r="T1" s="989"/>
    </row>
    <row r="2" spans="1:20" ht="21" x14ac:dyDescent="0.35">
      <c r="A2" s="860" t="s">
        <v>626</v>
      </c>
      <c r="B2" s="2147" t="s">
        <v>2268</v>
      </c>
      <c r="C2" s="2148"/>
      <c r="D2" s="2148"/>
      <c r="E2" s="2148"/>
      <c r="F2" s="2148"/>
      <c r="G2" s="2148"/>
      <c r="H2" s="2148"/>
      <c r="I2" s="2148"/>
      <c r="J2" s="2148"/>
      <c r="K2" s="2149"/>
      <c r="L2" s="989"/>
      <c r="M2" s="989"/>
      <c r="N2" s="989"/>
      <c r="O2" s="989"/>
      <c r="P2" s="989"/>
      <c r="Q2" s="989"/>
      <c r="R2" s="989"/>
      <c r="S2" s="989"/>
      <c r="T2" s="989"/>
    </row>
    <row r="3" spans="1:20" x14ac:dyDescent="0.35">
      <c r="A3" s="860"/>
      <c r="B3" s="933"/>
      <c r="C3" s="934"/>
      <c r="D3" s="934"/>
      <c r="E3" s="934"/>
      <c r="F3" s="934"/>
      <c r="G3" s="934"/>
      <c r="H3" s="934"/>
      <c r="I3" s="934"/>
      <c r="J3" s="934"/>
      <c r="K3" s="935"/>
      <c r="L3" s="989"/>
      <c r="M3" s="989"/>
      <c r="N3" s="989"/>
      <c r="O3" s="989"/>
      <c r="P3" s="989"/>
      <c r="Q3" s="989"/>
      <c r="R3" s="989"/>
      <c r="S3" s="989"/>
      <c r="T3" s="989"/>
    </row>
    <row r="4" spans="1:20" x14ac:dyDescent="0.35">
      <c r="A4" s="860"/>
      <c r="B4" s="936" t="s">
        <v>2129</v>
      </c>
      <c r="C4" s="2136">
        <f>+Anagrafica!$C$6</f>
        <v>0</v>
      </c>
      <c r="D4" s="2136"/>
      <c r="E4" s="2136"/>
      <c r="F4" s="2136"/>
      <c r="G4" s="937" t="s">
        <v>2130</v>
      </c>
      <c r="H4" s="979">
        <f>+Anagrafica!$C$2</f>
        <v>0</v>
      </c>
      <c r="I4" s="979"/>
      <c r="J4" s="1004" t="s">
        <v>1</v>
      </c>
      <c r="K4" s="938" t="str">
        <f>+Anagrafica!$G$2</f>
        <v>Capo III</v>
      </c>
      <c r="L4" s="989"/>
      <c r="M4" s="989"/>
      <c r="N4" s="989"/>
      <c r="O4" s="989"/>
      <c r="P4" s="989"/>
      <c r="Q4" s="989"/>
      <c r="R4" s="989"/>
      <c r="S4" s="989"/>
      <c r="T4" s="989"/>
    </row>
    <row r="5" spans="1:20" x14ac:dyDescent="0.35">
      <c r="A5" s="860"/>
      <c r="B5" s="939"/>
      <c r="C5" s="860"/>
      <c r="D5" s="860"/>
      <c r="E5" s="860"/>
      <c r="F5" s="860"/>
      <c r="G5" s="860"/>
      <c r="H5" s="860"/>
      <c r="I5" s="860"/>
      <c r="J5" s="860"/>
      <c r="K5" s="940"/>
      <c r="L5" s="989"/>
      <c r="M5" s="989"/>
      <c r="N5" s="989"/>
      <c r="O5" s="989"/>
      <c r="P5" s="989"/>
      <c r="Q5" s="989"/>
      <c r="R5" s="989"/>
      <c r="S5" s="989"/>
      <c r="T5" s="989"/>
    </row>
    <row r="6" spans="1:20" x14ac:dyDescent="0.35">
      <c r="A6" s="860"/>
      <c r="B6" s="2150" t="s">
        <v>2189</v>
      </c>
      <c r="C6" s="2151"/>
      <c r="D6" s="2151"/>
      <c r="E6" s="2151"/>
      <c r="F6" s="2151"/>
      <c r="G6" s="2151"/>
      <c r="H6" s="2152" t="str">
        <f>+Anagrafica!C5</f>
        <v>Legale Rappresentante</v>
      </c>
      <c r="I6" s="2152"/>
      <c r="J6" s="2152"/>
      <c r="K6" s="2153"/>
      <c r="L6" s="989"/>
      <c r="M6" s="989"/>
      <c r="N6" s="989"/>
      <c r="O6" s="989"/>
      <c r="P6" s="989"/>
      <c r="Q6" s="989"/>
      <c r="R6" s="989"/>
      <c r="S6" s="989"/>
      <c r="T6" s="989"/>
    </row>
    <row r="7" spans="1:20" x14ac:dyDescent="0.35">
      <c r="A7" s="860"/>
      <c r="B7" s="939"/>
      <c r="C7" s="860"/>
      <c r="D7" s="860"/>
      <c r="E7" s="860"/>
      <c r="F7" s="860"/>
      <c r="G7" s="860"/>
      <c r="H7" s="860"/>
      <c r="I7" s="860"/>
      <c r="J7" s="860"/>
      <c r="K7" s="940"/>
      <c r="L7" s="989"/>
      <c r="M7" s="989"/>
      <c r="N7" s="989"/>
      <c r="O7" s="989"/>
      <c r="P7" s="989"/>
      <c r="Q7" s="989"/>
      <c r="R7" s="989"/>
      <c r="S7" s="989"/>
      <c r="T7" s="989"/>
    </row>
    <row r="8" spans="1:20" x14ac:dyDescent="0.35">
      <c r="A8" s="860"/>
      <c r="B8" s="2154" t="str">
        <f>+IF(OR(Anagrafica!C3="",Anagrafica!C4=""),"",CONCATENATE(Anagrafica!C3," codice fiscale ",Anagrafica!C4))</f>
        <v/>
      </c>
      <c r="C8" s="2152"/>
      <c r="D8" s="2152"/>
      <c r="E8" s="2152"/>
      <c r="F8" s="2152"/>
      <c r="G8" s="2152"/>
      <c r="H8" s="2152"/>
      <c r="I8" s="2152"/>
      <c r="J8" s="2152"/>
      <c r="K8" s="2153"/>
      <c r="L8" s="989"/>
      <c r="M8" s="989"/>
      <c r="N8" s="989"/>
      <c r="O8" s="989"/>
      <c r="P8" s="989"/>
      <c r="Q8" s="989"/>
      <c r="R8" s="989"/>
      <c r="S8" s="989"/>
      <c r="T8" s="989"/>
    </row>
    <row r="9" spans="1:20" x14ac:dyDescent="0.35">
      <c r="A9" s="860"/>
      <c r="B9" s="939"/>
      <c r="C9" s="860"/>
      <c r="D9" s="860"/>
      <c r="E9" s="860"/>
      <c r="F9" s="860"/>
      <c r="G9" s="860"/>
      <c r="H9" s="860"/>
      <c r="I9" s="860"/>
      <c r="J9" s="860"/>
      <c r="K9" s="940"/>
      <c r="L9" s="989"/>
      <c r="M9" s="989"/>
      <c r="N9" s="989"/>
      <c r="O9" s="989"/>
      <c r="P9" s="989"/>
      <c r="Q9" s="989"/>
      <c r="R9" s="989"/>
      <c r="S9" s="989"/>
      <c r="T9" s="989"/>
    </row>
    <row r="10" spans="1:20" x14ac:dyDescent="0.35">
      <c r="A10" s="860"/>
      <c r="B10" s="2155" t="s">
        <v>2132</v>
      </c>
      <c r="C10" s="2157" t="str">
        <f>+IF(OR(Anagrafica!C7="",Anagrafica!C8="",Anagrafica!H8=""),"",CONCATENATE(Anagrafica!C7," - ",Anagrafica!C8," (",Anagrafica!H8,")"))</f>
        <v/>
      </c>
      <c r="D10" s="2157"/>
      <c r="E10" s="2157"/>
      <c r="F10" s="2157"/>
      <c r="G10" s="2157"/>
      <c r="H10" s="2157"/>
      <c r="I10" s="2157"/>
      <c r="J10" s="2157"/>
      <c r="K10" s="2158"/>
      <c r="L10" s="989"/>
      <c r="M10" s="989"/>
      <c r="N10" s="989"/>
      <c r="O10" s="989"/>
      <c r="P10" s="989"/>
      <c r="Q10" s="989"/>
      <c r="R10" s="989"/>
      <c r="S10" s="989"/>
      <c r="T10" s="989"/>
    </row>
    <row r="11" spans="1:20" x14ac:dyDescent="0.35">
      <c r="A11" s="860"/>
      <c r="B11" s="2156"/>
      <c r="C11" s="2159"/>
      <c r="D11" s="2159"/>
      <c r="E11" s="2159"/>
      <c r="F11" s="2159"/>
      <c r="G11" s="2159"/>
      <c r="H11" s="2159"/>
      <c r="I11" s="2159"/>
      <c r="J11" s="2159"/>
      <c r="K11" s="2160"/>
      <c r="L11" s="989"/>
      <c r="M11" s="989"/>
      <c r="N11" s="989"/>
      <c r="O11" s="989"/>
      <c r="P11" s="989"/>
      <c r="Q11" s="989"/>
      <c r="R11" s="989"/>
      <c r="S11" s="989"/>
      <c r="T11" s="989"/>
    </row>
    <row r="12" spans="1:20" x14ac:dyDescent="0.35">
      <c r="A12" s="860"/>
      <c r="B12" s="941"/>
      <c r="C12" s="860"/>
      <c r="D12" s="860"/>
      <c r="E12" s="860"/>
      <c r="F12" s="860"/>
      <c r="G12" s="860"/>
      <c r="H12" s="860"/>
      <c r="I12" s="860"/>
      <c r="J12" s="860"/>
      <c r="K12" s="940"/>
      <c r="L12" s="989"/>
      <c r="M12" s="989"/>
      <c r="N12" s="989"/>
      <c r="O12" s="989"/>
      <c r="P12" s="989"/>
      <c r="Q12" s="989"/>
      <c r="R12" s="989"/>
      <c r="S12" s="989"/>
      <c r="T12" s="989"/>
    </row>
    <row r="13" spans="1:20" x14ac:dyDescent="0.35">
      <c r="A13" s="860"/>
      <c r="B13" s="936" t="s">
        <v>2049</v>
      </c>
      <c r="C13" s="2136">
        <f>+Anagrafica!C11</f>
        <v>0</v>
      </c>
      <c r="D13" s="2136"/>
      <c r="E13" s="860"/>
      <c r="F13" s="937" t="s">
        <v>2133</v>
      </c>
      <c r="G13" s="2136" t="str">
        <f>+IF(OR(Anagrafica!C12="",Anagrafica!E12=""),"",CONCATENATE(Anagrafica!E12," al N° ",Anagrafica!C12))</f>
        <v>Roma al N° 123456</v>
      </c>
      <c r="H13" s="2136"/>
      <c r="I13" s="2136"/>
      <c r="J13" s="2136"/>
      <c r="K13" s="2137"/>
      <c r="L13" s="989"/>
      <c r="M13" s="989"/>
      <c r="N13" s="989"/>
      <c r="O13" s="989"/>
      <c r="P13" s="989"/>
      <c r="Q13" s="989"/>
      <c r="R13" s="989"/>
      <c r="S13" s="989"/>
      <c r="T13" s="989"/>
    </row>
    <row r="14" spans="1:20" x14ac:dyDescent="0.35">
      <c r="A14" s="860"/>
      <c r="B14" s="941"/>
      <c r="C14" s="860"/>
      <c r="D14" s="860"/>
      <c r="E14" s="860"/>
      <c r="F14" s="860"/>
      <c r="G14" s="860"/>
      <c r="H14" s="860"/>
      <c r="I14" s="860"/>
      <c r="J14" s="860"/>
      <c r="K14" s="940"/>
      <c r="L14" s="989"/>
      <c r="M14" s="989"/>
      <c r="N14" s="989"/>
      <c r="O14" s="989"/>
      <c r="P14" s="989"/>
      <c r="Q14" s="989"/>
      <c r="R14" s="989"/>
      <c r="S14" s="989"/>
      <c r="T14" s="989"/>
    </row>
    <row r="15" spans="1:20" x14ac:dyDescent="0.35">
      <c r="A15" s="860"/>
      <c r="B15" s="936" t="s">
        <v>2048</v>
      </c>
      <c r="C15" s="2136" t="str">
        <f>+IF(Anagrafica!C9="","",Anagrafica!C9)</f>
        <v/>
      </c>
      <c r="D15" s="2136"/>
      <c r="E15" s="2136"/>
      <c r="F15" s="2136"/>
      <c r="G15" s="2136"/>
      <c r="H15" s="2136"/>
      <c r="I15" s="2136"/>
      <c r="J15" s="2136"/>
      <c r="K15" s="2137"/>
      <c r="L15" s="989"/>
      <c r="M15" s="989"/>
      <c r="N15" s="989"/>
      <c r="O15" s="989"/>
      <c r="P15" s="989"/>
      <c r="Q15" s="989"/>
      <c r="R15" s="989"/>
      <c r="S15" s="989"/>
      <c r="T15" s="989"/>
    </row>
    <row r="16" spans="1:20" ht="18.5" x14ac:dyDescent="0.35">
      <c r="A16" s="860"/>
      <c r="B16" s="2138" t="s">
        <v>2269</v>
      </c>
      <c r="C16" s="2139"/>
      <c r="D16" s="2139"/>
      <c r="E16" s="2139"/>
      <c r="F16" s="2139"/>
      <c r="G16" s="2139"/>
      <c r="H16" s="2139"/>
      <c r="I16" s="2139"/>
      <c r="J16" s="2139"/>
      <c r="K16" s="2140"/>
      <c r="L16" s="989"/>
      <c r="M16" s="989"/>
      <c r="N16" s="989"/>
      <c r="O16" s="989"/>
      <c r="P16" s="989"/>
      <c r="Q16" s="989"/>
      <c r="R16" s="989"/>
      <c r="S16" s="989"/>
      <c r="T16" s="989"/>
    </row>
    <row r="17" spans="1:20" x14ac:dyDescent="0.35">
      <c r="A17" s="860"/>
      <c r="B17" s="939" t="s">
        <v>2135</v>
      </c>
      <c r="C17" s="942" t="str">
        <f>+IF(F72=0,"",F72)</f>
        <v/>
      </c>
      <c r="D17" s="943" t="s">
        <v>2136</v>
      </c>
      <c r="E17" s="944" t="str">
        <f>+IFERROR(IF(C17="","",C17/K17),"")</f>
        <v/>
      </c>
      <c r="F17" s="860" t="s">
        <v>2191</v>
      </c>
      <c r="G17" s="860"/>
      <c r="H17" s="945"/>
      <c r="I17" s="945"/>
      <c r="J17" s="860"/>
      <c r="K17" s="946" t="str">
        <f>IF(Anagrafica!C38=0,"",Anagrafica!C30)</f>
        <v/>
      </c>
      <c r="L17" s="989"/>
      <c r="M17" s="989"/>
      <c r="N17" s="989"/>
      <c r="O17" s="989"/>
      <c r="P17" s="989"/>
      <c r="Q17" s="989"/>
      <c r="R17" s="989"/>
      <c r="S17" s="989"/>
      <c r="T17" s="989"/>
    </row>
    <row r="18" spans="1:20" x14ac:dyDescent="0.35">
      <c r="A18" s="860"/>
      <c r="B18" s="939" t="s">
        <v>2192</v>
      </c>
      <c r="C18" s="860"/>
      <c r="D18" s="860"/>
      <c r="E18" s="860"/>
      <c r="F18" s="860"/>
      <c r="G18" s="860"/>
      <c r="H18" s="860"/>
      <c r="I18" s="860"/>
      <c r="J18" s="860"/>
      <c r="K18" s="940"/>
      <c r="L18" s="989"/>
      <c r="M18" s="989"/>
      <c r="N18" s="989"/>
      <c r="O18" s="989"/>
      <c r="P18" s="989"/>
      <c r="Q18" s="989"/>
      <c r="R18" s="989"/>
      <c r="S18" s="989"/>
      <c r="T18" s="989"/>
    </row>
    <row r="19" spans="1:20" x14ac:dyDescent="0.35">
      <c r="A19" s="860"/>
      <c r="B19" s="947" t="s">
        <v>2193</v>
      </c>
      <c r="C19" s="948"/>
      <c r="D19" s="948"/>
      <c r="E19" s="949" t="str" cm="1">
        <f t="array" aca="1" ref="E19" ca="1">IFERROR(SUMIFS(Imponibilesal2,Quietanzasal2,"SI"),"")</f>
        <v/>
      </c>
      <c r="F19" s="860"/>
      <c r="G19" s="860"/>
      <c r="H19" s="860"/>
      <c r="I19" s="860"/>
      <c r="J19" s="860"/>
      <c r="K19" s="940"/>
      <c r="L19" s="989"/>
      <c r="M19" s="989"/>
      <c r="N19" s="989"/>
      <c r="O19" s="989"/>
      <c r="P19" s="989"/>
      <c r="Q19" s="989"/>
      <c r="R19" s="989"/>
      <c r="S19" s="989"/>
      <c r="T19" s="989"/>
    </row>
    <row r="20" spans="1:20" x14ac:dyDescent="0.35">
      <c r="A20" s="860"/>
      <c r="B20" s="947" t="s">
        <v>2194</v>
      </c>
      <c r="C20" s="948"/>
      <c r="D20" s="948"/>
      <c r="E20" s="949" t="str" cm="1">
        <f t="array" aca="1" ref="E20" ca="1">IFERROR(SUMIFS(Imponibilesal2,Quietanzasal2,"NO"),"")</f>
        <v/>
      </c>
      <c r="F20" s="2102" t="str">
        <f ca="1">+IFERROR(+IF(E20/K17&gt;30%,"Superato limite del 30% per il 2° SAL previsto dalla normativa",""),"")</f>
        <v/>
      </c>
      <c r="G20" s="2102"/>
      <c r="H20" s="2102"/>
      <c r="I20" s="2102"/>
      <c r="J20" s="2102"/>
      <c r="K20" s="2103"/>
      <c r="L20" s="989"/>
      <c r="M20" s="989"/>
      <c r="N20" s="989"/>
      <c r="O20" s="989"/>
      <c r="P20" s="989"/>
      <c r="Q20" s="989"/>
      <c r="R20" s="989"/>
      <c r="S20" s="989"/>
      <c r="T20" s="989"/>
    </row>
    <row r="21" spans="1:20" x14ac:dyDescent="0.35">
      <c r="A21" s="860"/>
      <c r="B21" s="2144" t="str">
        <f>+CONCATENATE("La somma eventualmente erogata dovrà essere accreditata sul c/c bancario intestato alla Società istituito presso l'istituto di credito ",Anagrafica!C46," - Filiale/Agenzia ",+Anagrafica!C47)</f>
        <v>La somma eventualmente erogata dovrà essere accreditata sul c/c bancario intestato alla Società istituito presso l'istituto di credito BANCA SELLA - Filiale/Agenzia AGENZIA 30</v>
      </c>
      <c r="C21" s="2145"/>
      <c r="D21" s="2145"/>
      <c r="E21" s="2145"/>
      <c r="F21" s="2145"/>
      <c r="G21" s="2145"/>
      <c r="H21" s="2145"/>
      <c r="I21" s="2145"/>
      <c r="J21" s="2145"/>
      <c r="K21" s="2146"/>
      <c r="L21" s="989"/>
      <c r="M21" s="989"/>
      <c r="N21" s="989"/>
      <c r="O21" s="989"/>
      <c r="P21" s="989"/>
      <c r="Q21" s="989"/>
      <c r="R21" s="989"/>
      <c r="S21" s="989"/>
      <c r="T21" s="989"/>
    </row>
    <row r="22" spans="1:20" x14ac:dyDescent="0.35">
      <c r="A22" s="860"/>
      <c r="B22" s="2141" t="str">
        <f>+CONCATENATE("IBAN di riferimento - ",Anagrafica!C50,Anagrafica!D50,Anagrafica!E50,Anagrafica!F50,Anagrafica!G50,Anagrafica!H50)</f>
        <v>IBAN di riferimento - IT</v>
      </c>
      <c r="C22" s="2142"/>
      <c r="D22" s="2142"/>
      <c r="E22" s="2142"/>
      <c r="F22" s="2142"/>
      <c r="G22" s="2142"/>
      <c r="H22" s="2142"/>
      <c r="I22" s="2142"/>
      <c r="J22" s="2142"/>
      <c r="K22" s="2143"/>
      <c r="L22" s="989"/>
      <c r="M22" s="989"/>
      <c r="N22" s="989"/>
      <c r="O22" s="989"/>
      <c r="P22" s="989"/>
      <c r="Q22" s="989"/>
      <c r="R22" s="989"/>
      <c r="S22" s="989"/>
      <c r="T22" s="989"/>
    </row>
    <row r="23" spans="1:20" x14ac:dyDescent="0.35">
      <c r="A23" s="860"/>
      <c r="B23" s="2029" t="s">
        <v>2138</v>
      </c>
      <c r="C23" s="2030"/>
      <c r="D23" s="2030"/>
      <c r="E23" s="2030"/>
      <c r="F23" s="2030"/>
      <c r="G23" s="2030"/>
      <c r="H23" s="2030"/>
      <c r="I23" s="2030"/>
      <c r="J23" s="2030"/>
      <c r="K23" s="2031"/>
      <c r="L23" s="989"/>
      <c r="M23" s="989"/>
      <c r="N23" s="989"/>
      <c r="O23" s="989"/>
      <c r="P23" s="989"/>
      <c r="Q23" s="989"/>
      <c r="R23" s="989"/>
      <c r="S23" s="989"/>
      <c r="T23" s="989"/>
    </row>
    <row r="24" spans="1:20" x14ac:dyDescent="0.35">
      <c r="A24" s="860"/>
      <c r="B24" s="2029"/>
      <c r="C24" s="2030"/>
      <c r="D24" s="2030"/>
      <c r="E24" s="2030"/>
      <c r="F24" s="2030"/>
      <c r="G24" s="2030"/>
      <c r="H24" s="2030"/>
      <c r="I24" s="2030"/>
      <c r="J24" s="2030"/>
      <c r="K24" s="2031"/>
      <c r="L24" s="989"/>
      <c r="M24" s="989"/>
      <c r="N24" s="989"/>
      <c r="O24" s="989"/>
      <c r="P24" s="989"/>
      <c r="Q24" s="989"/>
      <c r="R24" s="989"/>
      <c r="S24" s="989"/>
      <c r="T24" s="989"/>
    </row>
    <row r="25" spans="1:20" ht="15" thickBot="1" x14ac:dyDescent="0.4">
      <c r="A25" s="860"/>
      <c r="B25" s="2032"/>
      <c r="C25" s="2033"/>
      <c r="D25" s="2033"/>
      <c r="E25" s="2033"/>
      <c r="F25" s="2033"/>
      <c r="G25" s="2033"/>
      <c r="H25" s="2033"/>
      <c r="I25" s="2033"/>
      <c r="J25" s="2033"/>
      <c r="K25" s="2034"/>
      <c r="L25" s="989"/>
      <c r="M25" s="989"/>
      <c r="N25" s="989"/>
      <c r="O25" s="989"/>
      <c r="P25" s="989"/>
      <c r="Q25" s="989"/>
      <c r="R25" s="989"/>
      <c r="S25" s="989"/>
      <c r="T25" s="989"/>
    </row>
    <row r="26" spans="1:20" ht="15" thickBot="1" x14ac:dyDescent="0.4">
      <c r="A26" s="860"/>
      <c r="B26" s="860"/>
      <c r="C26" s="860"/>
      <c r="D26" s="860"/>
      <c r="E26" s="860"/>
      <c r="F26" s="860"/>
      <c r="G26" s="860"/>
      <c r="H26" s="860"/>
      <c r="I26" s="860"/>
      <c r="J26" s="860"/>
      <c r="K26" s="860"/>
      <c r="L26" s="989"/>
      <c r="M26" s="989"/>
      <c r="N26" s="989"/>
      <c r="O26" s="989"/>
      <c r="P26" s="989"/>
      <c r="Q26" s="989"/>
      <c r="R26" s="989"/>
      <c r="S26" s="989"/>
      <c r="T26" s="989"/>
    </row>
    <row r="27" spans="1:20" ht="15" thickBot="1" x14ac:dyDescent="0.4">
      <c r="A27" s="860"/>
      <c r="B27" s="2196" t="s">
        <v>2195</v>
      </c>
      <c r="C27" s="1148" t="s">
        <v>564</v>
      </c>
      <c r="D27" s="1149" t="s">
        <v>2140</v>
      </c>
      <c r="E27" s="1149" t="s">
        <v>2141</v>
      </c>
      <c r="F27" s="1149" t="s">
        <v>2142</v>
      </c>
      <c r="G27" s="1149" t="s">
        <v>2143</v>
      </c>
      <c r="H27" s="1149" t="s">
        <v>2144</v>
      </c>
      <c r="I27" s="1150" t="s">
        <v>2145</v>
      </c>
      <c r="J27" s="1151" t="s">
        <v>2146</v>
      </c>
      <c r="K27" s="860"/>
      <c r="L27" s="989"/>
      <c r="M27" s="989"/>
      <c r="N27" s="989"/>
      <c r="O27" s="989"/>
      <c r="P27" s="989"/>
      <c r="Q27" s="989"/>
      <c r="R27" s="989"/>
      <c r="S27" s="989"/>
      <c r="T27" s="989"/>
    </row>
    <row r="28" spans="1:20" ht="15" thickBot="1" x14ac:dyDescent="0.4">
      <c r="A28" s="860"/>
      <c r="B28" s="2197"/>
      <c r="C28" s="899" t="s">
        <v>2080</v>
      </c>
      <c r="D28" s="900"/>
      <c r="E28" s="1163">
        <v>20</v>
      </c>
      <c r="F28" s="900"/>
      <c r="G28" s="900"/>
      <c r="H28" s="900" t="s">
        <v>2148</v>
      </c>
      <c r="I28" s="1141"/>
      <c r="J28" s="901"/>
      <c r="K28" s="860"/>
      <c r="L28" s="989"/>
      <c r="M28" s="989"/>
      <c r="N28" s="989"/>
      <c r="O28" s="989"/>
      <c r="P28" s="989"/>
      <c r="Q28" s="989"/>
      <c r="R28" s="989"/>
      <c r="S28" s="989"/>
      <c r="T28" s="989"/>
    </row>
    <row r="29" spans="1:20" ht="15" thickBot="1" x14ac:dyDescent="0.4">
      <c r="A29" s="860"/>
      <c r="B29" s="2198"/>
      <c r="C29" s="899" t="s">
        <v>2196</v>
      </c>
      <c r="D29" s="900"/>
      <c r="E29" s="1163">
        <v>20</v>
      </c>
      <c r="F29" s="900"/>
      <c r="G29" s="900"/>
      <c r="H29" s="900" t="s">
        <v>2148</v>
      </c>
      <c r="I29" s="1141"/>
      <c r="J29" s="901"/>
      <c r="K29" s="860"/>
      <c r="L29" s="989"/>
      <c r="M29" s="989"/>
      <c r="N29" s="989"/>
      <c r="O29" s="989"/>
      <c r="P29" s="989"/>
      <c r="Q29" s="989"/>
      <c r="R29" s="989"/>
      <c r="S29" s="989"/>
      <c r="T29" s="989"/>
    </row>
    <row r="30" spans="1:20" ht="15" thickBot="1" x14ac:dyDescent="0.4">
      <c r="A30" s="860"/>
      <c r="B30" s="860"/>
      <c r="C30" s="860"/>
      <c r="D30" s="860"/>
      <c r="E30" s="860"/>
      <c r="F30" s="860"/>
      <c r="G30" s="988"/>
      <c r="H30" s="988"/>
      <c r="I30" s="988"/>
      <c r="J30" s="860"/>
      <c r="K30" s="860"/>
      <c r="L30" s="989"/>
      <c r="M30" s="989"/>
      <c r="N30" s="989"/>
      <c r="O30" s="989"/>
      <c r="P30" s="989"/>
      <c r="Q30" s="989"/>
      <c r="R30" s="989"/>
      <c r="S30" s="989"/>
      <c r="T30" s="989"/>
    </row>
    <row r="31" spans="1:20" ht="15" thickBot="1" x14ac:dyDescent="0.4">
      <c r="A31" s="860"/>
      <c r="B31" s="2003" t="s">
        <v>2149</v>
      </c>
      <c r="C31" s="2004"/>
      <c r="D31" s="2004"/>
      <c r="E31" s="2004"/>
      <c r="F31" s="2004"/>
      <c r="G31" s="2004"/>
      <c r="H31" s="2004"/>
      <c r="I31" s="2005"/>
      <c r="J31" s="860"/>
      <c r="K31" s="860"/>
      <c r="L31" s="989"/>
      <c r="M31" s="989"/>
      <c r="N31" s="989"/>
      <c r="O31" s="989"/>
      <c r="P31" s="989"/>
      <c r="Q31" s="989"/>
      <c r="R31" s="989"/>
      <c r="S31" s="989"/>
      <c r="T31" s="989"/>
    </row>
    <row r="32" spans="1:20" ht="15" thickBot="1" x14ac:dyDescent="0.4">
      <c r="A32" s="860"/>
      <c r="B32" s="1985" t="s">
        <v>2150</v>
      </c>
      <c r="C32" s="1986"/>
      <c r="D32" s="1986"/>
      <c r="E32" s="1986"/>
      <c r="F32" s="1123" t="s">
        <v>2151</v>
      </c>
      <c r="G32" s="2000" t="s">
        <v>574</v>
      </c>
      <c r="H32" s="2001"/>
      <c r="I32" s="2002"/>
      <c r="J32" s="860"/>
      <c r="K32" s="860"/>
      <c r="L32" s="989"/>
      <c r="M32" s="989"/>
      <c r="N32" s="989"/>
      <c r="O32" s="989"/>
      <c r="P32" s="989"/>
      <c r="Q32" s="989"/>
      <c r="R32" s="989"/>
      <c r="S32" s="989"/>
      <c r="T32" s="989"/>
    </row>
    <row r="33" spans="1:20" x14ac:dyDescent="0.35">
      <c r="A33" s="860"/>
      <c r="B33" s="2006" t="str">
        <f>+IF(Anagrafica!$H$6="Società di capitali","ANT 1 - Dichiarazione e Certificato Antimafia Società","ANT 2- Dichiarazione e Certificato Antimafia Cooperative")</f>
        <v>ANT 2- Dichiarazione e Certificato Antimafia Cooperative</v>
      </c>
      <c r="C33" s="2007"/>
      <c r="D33" s="2007"/>
      <c r="E33" s="2008"/>
      <c r="F33" s="1127"/>
      <c r="G33" s="2009"/>
      <c r="H33" s="2010"/>
      <c r="I33" s="2011"/>
      <c r="J33" s="988"/>
      <c r="K33" s="860"/>
      <c r="L33" s="989"/>
      <c r="M33" s="989"/>
      <c r="N33" s="989"/>
      <c r="O33" s="989"/>
      <c r="P33" s="989"/>
      <c r="Q33" s="989"/>
      <c r="R33" s="989"/>
      <c r="S33" s="989"/>
      <c r="T33" s="989"/>
    </row>
    <row r="34" spans="1:20" ht="15" thickBot="1" x14ac:dyDescent="0.4">
      <c r="A34" s="860"/>
      <c r="B34" s="1991" t="s">
        <v>2152</v>
      </c>
      <c r="C34" s="1992"/>
      <c r="D34" s="1992"/>
      <c r="E34" s="1993"/>
      <c r="F34" s="1128"/>
      <c r="G34" s="1994"/>
      <c r="H34" s="1995"/>
      <c r="I34" s="1996"/>
      <c r="J34" s="860"/>
      <c r="K34" s="860"/>
      <c r="L34" s="989"/>
      <c r="M34" s="989"/>
      <c r="N34" s="989"/>
      <c r="O34" s="989"/>
      <c r="P34" s="989"/>
      <c r="Q34" s="989"/>
      <c r="R34" s="989"/>
      <c r="S34" s="989"/>
      <c r="T34" s="989"/>
    </row>
    <row r="35" spans="1:20" ht="15" thickBot="1" x14ac:dyDescent="0.4">
      <c r="A35" s="860"/>
      <c r="B35" s="1997" t="s">
        <v>2153</v>
      </c>
      <c r="C35" s="1998"/>
      <c r="D35" s="1998"/>
      <c r="E35" s="1998"/>
      <c r="F35" s="1998"/>
      <c r="G35" s="1998"/>
      <c r="H35" s="1998"/>
      <c r="I35" s="1999"/>
      <c r="J35" s="860"/>
      <c r="K35" s="860"/>
      <c r="L35" s="989"/>
      <c r="M35" s="989"/>
      <c r="N35" s="989"/>
      <c r="O35" s="989"/>
      <c r="P35" s="989"/>
      <c r="Q35" s="989"/>
      <c r="R35" s="989"/>
      <c r="S35" s="989"/>
      <c r="T35" s="989"/>
    </row>
    <row r="36" spans="1:20" x14ac:dyDescent="0.35">
      <c r="A36" s="860"/>
      <c r="B36" s="2119" t="s">
        <v>2154</v>
      </c>
      <c r="C36" s="2120"/>
      <c r="D36" s="2120"/>
      <c r="E36" s="2121"/>
      <c r="F36" s="1161" t="s">
        <v>2151</v>
      </c>
      <c r="G36" s="2122" t="s">
        <v>574</v>
      </c>
      <c r="H36" s="2123"/>
      <c r="I36" s="2124"/>
      <c r="J36" s="860"/>
      <c r="K36" s="860"/>
      <c r="L36" s="989"/>
      <c r="M36" s="989"/>
      <c r="N36" s="989"/>
      <c r="O36" s="989"/>
      <c r="P36" s="989"/>
      <c r="Q36" s="989"/>
      <c r="R36" s="989"/>
      <c r="S36" s="989"/>
      <c r="T36" s="989"/>
    </row>
    <row r="37" spans="1:20" ht="15" thickBot="1" x14ac:dyDescent="0.4">
      <c r="A37" s="860"/>
      <c r="B37" s="2125" t="s">
        <v>2080</v>
      </c>
      <c r="C37" s="2126"/>
      <c r="D37" s="2126"/>
      <c r="E37" s="2127"/>
      <c r="F37" s="1162"/>
      <c r="G37" s="2128"/>
      <c r="H37" s="2129"/>
      <c r="I37" s="2130"/>
      <c r="J37" s="860"/>
      <c r="K37" s="860"/>
      <c r="L37" s="989"/>
      <c r="M37" s="989"/>
      <c r="N37" s="989"/>
      <c r="O37" s="989"/>
      <c r="P37" s="989"/>
      <c r="Q37" s="989"/>
      <c r="R37" s="989"/>
      <c r="S37" s="989"/>
      <c r="T37" s="989"/>
    </row>
    <row r="38" spans="1:20" ht="15.75" customHeight="1" thickBot="1" x14ac:dyDescent="0.4">
      <c r="A38" s="860"/>
      <c r="B38" s="2131" t="s">
        <v>2197</v>
      </c>
      <c r="C38" s="2132"/>
      <c r="D38" s="2132"/>
      <c r="E38" s="2132"/>
      <c r="F38" s="1142"/>
      <c r="G38" s="1983"/>
      <c r="H38" s="1983"/>
      <c r="I38" s="1984"/>
      <c r="J38" s="860"/>
      <c r="K38" s="860"/>
      <c r="L38" s="989"/>
      <c r="M38" s="989"/>
      <c r="N38" s="989"/>
      <c r="O38" s="989"/>
      <c r="P38" s="989"/>
      <c r="Q38" s="989"/>
      <c r="R38" s="989"/>
      <c r="S38" s="989"/>
      <c r="T38" s="989"/>
    </row>
    <row r="39" spans="1:20" ht="15" thickBot="1" x14ac:dyDescent="0.4">
      <c r="A39" s="860"/>
      <c r="B39" s="1129" t="s">
        <v>2156</v>
      </c>
      <c r="C39" s="1130"/>
      <c r="D39" s="1130"/>
      <c r="E39" s="1130"/>
      <c r="F39" s="1130"/>
      <c r="G39" s="1130"/>
      <c r="H39" s="1130"/>
      <c r="I39" s="1131"/>
      <c r="J39" s="860"/>
      <c r="K39" s="860"/>
      <c r="L39" s="989"/>
      <c r="M39" s="989"/>
      <c r="N39" s="989"/>
      <c r="O39" s="989"/>
      <c r="P39" s="989"/>
      <c r="Q39" s="989"/>
      <c r="R39" s="989"/>
      <c r="S39" s="989"/>
      <c r="T39" s="989"/>
    </row>
    <row r="40" spans="1:20" ht="15" thickBot="1" x14ac:dyDescent="0.4">
      <c r="A40" s="860"/>
      <c r="B40" s="1985" t="s">
        <v>2157</v>
      </c>
      <c r="C40" s="1986"/>
      <c r="D40" s="1986"/>
      <c r="E40" s="1987"/>
      <c r="F40" s="1124" t="s">
        <v>2151</v>
      </c>
      <c r="G40" s="2000" t="s">
        <v>574</v>
      </c>
      <c r="H40" s="2001"/>
      <c r="I40" s="2002"/>
      <c r="J40" s="860"/>
      <c r="K40" s="860"/>
      <c r="L40" s="989"/>
      <c r="M40" s="989"/>
      <c r="N40" s="989"/>
      <c r="O40" s="989"/>
      <c r="P40" s="989"/>
      <c r="Q40" s="989"/>
      <c r="R40" s="989"/>
      <c r="S40" s="989"/>
      <c r="T40" s="989"/>
    </row>
    <row r="41" spans="1:20" x14ac:dyDescent="0.35">
      <c r="A41" s="860"/>
      <c r="B41" s="2012" t="s">
        <v>2158</v>
      </c>
      <c r="C41" s="2013"/>
      <c r="D41" s="2013"/>
      <c r="E41" s="2014"/>
      <c r="F41" s="1125"/>
      <c r="G41" s="2015"/>
      <c r="H41" s="2016"/>
      <c r="I41" s="2017"/>
      <c r="J41" s="860"/>
      <c r="K41" s="860"/>
      <c r="L41" s="989"/>
      <c r="M41" s="989"/>
      <c r="N41" s="989"/>
      <c r="O41" s="989"/>
      <c r="P41" s="989"/>
      <c r="Q41" s="989"/>
      <c r="R41" s="989"/>
      <c r="S41" s="989"/>
      <c r="T41" s="989"/>
    </row>
    <row r="42" spans="1:20" x14ac:dyDescent="0.35">
      <c r="A42" s="860"/>
      <c r="B42" s="2211" t="s">
        <v>2198</v>
      </c>
      <c r="C42" s="2212"/>
      <c r="D42" s="2212"/>
      <c r="E42" s="2213"/>
      <c r="F42" s="1126"/>
      <c r="G42" s="2214"/>
      <c r="H42" s="2215"/>
      <c r="I42" s="2216"/>
      <c r="J42" s="860"/>
      <c r="K42" s="860"/>
      <c r="L42" s="989"/>
      <c r="M42" s="989"/>
      <c r="N42" s="989"/>
      <c r="O42" s="989"/>
      <c r="P42" s="989"/>
      <c r="Q42" s="989"/>
      <c r="R42" s="989"/>
      <c r="S42" s="989"/>
      <c r="T42" s="989"/>
    </row>
    <row r="43" spans="1:20" x14ac:dyDescent="0.35">
      <c r="A43" s="860"/>
      <c r="B43" s="2211" t="s">
        <v>2159</v>
      </c>
      <c r="C43" s="2212"/>
      <c r="D43" s="2212"/>
      <c r="E43" s="2213"/>
      <c r="F43" s="1126"/>
      <c r="G43" s="2214"/>
      <c r="H43" s="2215"/>
      <c r="I43" s="2216"/>
      <c r="J43" s="860"/>
      <c r="K43" s="860"/>
      <c r="L43" s="989"/>
      <c r="M43" s="989"/>
      <c r="N43" s="989"/>
      <c r="O43" s="989"/>
      <c r="P43" s="989"/>
      <c r="Q43" s="989"/>
      <c r="R43" s="989"/>
      <c r="S43" s="989"/>
      <c r="T43" s="989"/>
    </row>
    <row r="44" spans="1:20" x14ac:dyDescent="0.35">
      <c r="A44" s="860"/>
      <c r="B44" s="2211" t="s">
        <v>2199</v>
      </c>
      <c r="C44" s="2212"/>
      <c r="D44" s="2212"/>
      <c r="E44" s="2213"/>
      <c r="F44" s="1126"/>
      <c r="G44" s="2214"/>
      <c r="H44" s="2215"/>
      <c r="I44" s="2216"/>
      <c r="J44" s="860"/>
      <c r="K44" s="860"/>
      <c r="L44" s="989"/>
      <c r="M44" s="989"/>
      <c r="N44" s="989"/>
      <c r="O44" s="989"/>
      <c r="P44" s="989"/>
      <c r="Q44" s="989"/>
      <c r="R44" s="989"/>
      <c r="S44" s="989"/>
      <c r="T44" s="989"/>
    </row>
    <row r="45" spans="1:20" ht="15" thickBot="1" x14ac:dyDescent="0.4">
      <c r="A45" s="860"/>
      <c r="B45" s="2018" t="s">
        <v>2200</v>
      </c>
      <c r="C45" s="2019"/>
      <c r="D45" s="2019"/>
      <c r="E45" s="2020"/>
      <c r="F45" s="1132"/>
      <c r="G45" s="1994"/>
      <c r="H45" s="1995"/>
      <c r="I45" s="1996"/>
      <c r="J45" s="860"/>
      <c r="K45" s="860"/>
      <c r="L45" s="989"/>
      <c r="M45" s="989"/>
      <c r="N45" s="989"/>
      <c r="O45" s="989"/>
      <c r="P45" s="989"/>
      <c r="Q45" s="989"/>
      <c r="R45" s="989"/>
      <c r="S45" s="989"/>
      <c r="T45" s="989"/>
    </row>
    <row r="46" spans="1:20" ht="15" thickBot="1" x14ac:dyDescent="0.4">
      <c r="A46" s="860"/>
      <c r="B46" s="2003" t="s">
        <v>2160</v>
      </c>
      <c r="C46" s="2004"/>
      <c r="D46" s="2004"/>
      <c r="E46" s="2004"/>
      <c r="F46" s="2004"/>
      <c r="G46" s="2004"/>
      <c r="H46" s="2004"/>
      <c r="I46" s="2005"/>
      <c r="J46" s="860"/>
      <c r="K46" s="860"/>
      <c r="L46" s="989"/>
      <c r="M46" s="989"/>
      <c r="N46" s="989"/>
      <c r="O46" s="989"/>
      <c r="P46" s="989"/>
      <c r="Q46" s="989"/>
      <c r="R46" s="989"/>
      <c r="S46" s="989"/>
      <c r="T46" s="989"/>
    </row>
    <row r="47" spans="1:20" ht="15" thickBot="1" x14ac:dyDescent="0.4">
      <c r="A47" s="860"/>
      <c r="B47" s="1985" t="s">
        <v>2161</v>
      </c>
      <c r="C47" s="1986"/>
      <c r="D47" s="1986"/>
      <c r="E47" s="1987"/>
      <c r="F47" s="1124" t="s">
        <v>2151</v>
      </c>
      <c r="G47" s="2000" t="s">
        <v>574</v>
      </c>
      <c r="H47" s="2001"/>
      <c r="I47" s="2002"/>
      <c r="J47" s="860"/>
      <c r="K47" s="860"/>
      <c r="L47" s="989"/>
      <c r="M47" s="989"/>
      <c r="N47" s="989"/>
      <c r="O47" s="989"/>
      <c r="P47" s="989"/>
      <c r="Q47" s="989"/>
      <c r="R47" s="989"/>
      <c r="S47" s="989"/>
      <c r="T47" s="989"/>
    </row>
    <row r="48" spans="1:20" ht="15" customHeight="1" x14ac:dyDescent="0.35">
      <c r="A48" s="860"/>
      <c r="B48" s="2116" t="s">
        <v>2162</v>
      </c>
      <c r="C48" s="2117"/>
      <c r="D48" s="2117"/>
      <c r="E48" s="2118"/>
      <c r="F48" s="1136"/>
      <c r="G48" s="1133"/>
      <c r="H48" s="1134"/>
      <c r="I48" s="1135"/>
      <c r="J48" s="860"/>
      <c r="K48" s="860"/>
      <c r="L48" s="989"/>
      <c r="M48" s="989"/>
      <c r="N48" s="989"/>
      <c r="O48" s="989"/>
      <c r="P48" s="989"/>
      <c r="Q48" s="989"/>
      <c r="R48" s="989"/>
      <c r="S48" s="989"/>
      <c r="T48" s="989"/>
    </row>
    <row r="49" spans="1:20" ht="15" customHeight="1" x14ac:dyDescent="0.35">
      <c r="A49" s="860"/>
      <c r="B49" s="2110" t="s">
        <v>2201</v>
      </c>
      <c r="C49" s="2111"/>
      <c r="D49" s="2111"/>
      <c r="E49" s="2112"/>
      <c r="F49" s="1208"/>
      <c r="G49" s="2107"/>
      <c r="H49" s="2108"/>
      <c r="I49" s="2109"/>
      <c r="J49" s="860"/>
      <c r="K49" s="860"/>
      <c r="L49" s="989"/>
      <c r="M49" s="989"/>
      <c r="N49" s="989"/>
      <c r="O49" s="989"/>
      <c r="P49" s="989"/>
      <c r="Q49" s="989"/>
      <c r="R49" s="989"/>
      <c r="S49" s="989"/>
      <c r="T49" s="989"/>
    </row>
    <row r="50" spans="1:20" ht="15" customHeight="1" x14ac:dyDescent="0.35">
      <c r="A50" s="860"/>
      <c r="B50" s="2110" t="s">
        <v>2202</v>
      </c>
      <c r="C50" s="2111"/>
      <c r="D50" s="2111"/>
      <c r="E50" s="2112"/>
      <c r="F50" s="1208"/>
      <c r="G50" s="2107"/>
      <c r="H50" s="2108"/>
      <c r="I50" s="2109"/>
      <c r="J50" s="860"/>
      <c r="K50" s="860"/>
      <c r="L50" s="989"/>
      <c r="M50" s="989"/>
      <c r="N50" s="989"/>
      <c r="O50" s="989"/>
      <c r="P50" s="989"/>
      <c r="Q50" s="989"/>
      <c r="R50" s="989"/>
      <c r="S50" s="989"/>
      <c r="T50" s="989"/>
    </row>
    <row r="51" spans="1:20" ht="15" customHeight="1" x14ac:dyDescent="0.35">
      <c r="A51" s="860"/>
      <c r="B51" s="2110" t="s">
        <v>2203</v>
      </c>
      <c r="C51" s="2111"/>
      <c r="D51" s="2111"/>
      <c r="E51" s="2112"/>
      <c r="F51" s="1208"/>
      <c r="G51" s="2107"/>
      <c r="H51" s="2108"/>
      <c r="I51" s="2109"/>
      <c r="J51" s="860"/>
      <c r="K51" s="860"/>
      <c r="L51" s="989"/>
      <c r="M51" s="989"/>
      <c r="N51" s="989"/>
      <c r="O51" s="989"/>
      <c r="P51" s="989"/>
      <c r="Q51" s="989"/>
      <c r="R51" s="989"/>
      <c r="S51" s="989"/>
      <c r="T51" s="989"/>
    </row>
    <row r="52" spans="1:20" ht="45.75" customHeight="1" x14ac:dyDescent="0.35">
      <c r="A52" s="860"/>
      <c r="B52" s="2110" t="s">
        <v>2204</v>
      </c>
      <c r="C52" s="2111"/>
      <c r="D52" s="2111"/>
      <c r="E52" s="2112"/>
      <c r="F52" s="1208"/>
      <c r="G52" s="2107"/>
      <c r="H52" s="2108"/>
      <c r="I52" s="2109"/>
      <c r="J52" s="860"/>
      <c r="K52" s="860"/>
      <c r="L52" s="989"/>
      <c r="M52" s="989"/>
      <c r="N52" s="989"/>
      <c r="O52" s="989"/>
      <c r="P52" s="989"/>
      <c r="Q52" s="989"/>
      <c r="R52" s="989"/>
      <c r="S52" s="989"/>
      <c r="T52" s="989"/>
    </row>
    <row r="53" spans="1:20" ht="36" customHeight="1" x14ac:dyDescent="0.35">
      <c r="A53" s="860"/>
      <c r="B53" s="2226" t="s">
        <v>2205</v>
      </c>
      <c r="C53" s="2227"/>
      <c r="D53" s="2227"/>
      <c r="E53" s="2228"/>
      <c r="F53" s="1208"/>
      <c r="G53" s="2107"/>
      <c r="H53" s="2108"/>
      <c r="I53" s="2109"/>
      <c r="J53" s="860"/>
      <c r="K53" s="860"/>
      <c r="L53" s="989"/>
      <c r="M53" s="989"/>
      <c r="N53" s="989"/>
      <c r="O53" s="989"/>
      <c r="P53" s="989"/>
      <c r="Q53" s="989"/>
      <c r="R53" s="989"/>
      <c r="S53" s="989"/>
      <c r="T53" s="989"/>
    </row>
    <row r="54" spans="1:20" ht="34.5" customHeight="1" x14ac:dyDescent="0.35">
      <c r="A54" s="860"/>
      <c r="B54" s="2104" t="s">
        <v>2206</v>
      </c>
      <c r="C54" s="2105"/>
      <c r="D54" s="2105"/>
      <c r="E54" s="2106"/>
      <c r="F54" s="1137"/>
      <c r="G54" s="2107"/>
      <c r="H54" s="2108"/>
      <c r="I54" s="2109"/>
      <c r="J54" s="860"/>
      <c r="K54" s="860"/>
      <c r="L54" s="989"/>
      <c r="M54" s="989"/>
      <c r="N54" s="989"/>
      <c r="O54" s="989"/>
      <c r="P54" s="989"/>
      <c r="Q54" s="989"/>
      <c r="R54" s="989"/>
      <c r="S54" s="989"/>
      <c r="T54" s="989"/>
    </row>
    <row r="55" spans="1:20" ht="84" customHeight="1" x14ac:dyDescent="0.35">
      <c r="A55" s="860"/>
      <c r="B55" s="2104" t="s">
        <v>2207</v>
      </c>
      <c r="C55" s="2105"/>
      <c r="D55" s="2105"/>
      <c r="E55" s="2106"/>
      <c r="F55" s="1137"/>
      <c r="G55" s="2107"/>
      <c r="H55" s="2108"/>
      <c r="I55" s="2109"/>
      <c r="J55" s="860"/>
      <c r="K55" s="860"/>
      <c r="L55" s="989"/>
      <c r="M55" s="989"/>
      <c r="N55" s="989"/>
      <c r="O55" s="989"/>
      <c r="P55" s="989"/>
      <c r="Q55" s="989"/>
      <c r="R55" s="989"/>
      <c r="S55" s="989"/>
      <c r="T55" s="989"/>
    </row>
    <row r="56" spans="1:20" ht="39" customHeight="1" x14ac:dyDescent="0.35">
      <c r="A56" s="860"/>
      <c r="B56" s="2104" t="s">
        <v>2208</v>
      </c>
      <c r="C56" s="2105"/>
      <c r="D56" s="2105"/>
      <c r="E56" s="2106"/>
      <c r="F56" s="1137"/>
      <c r="G56" s="2107"/>
      <c r="H56" s="2108"/>
      <c r="I56" s="2109"/>
      <c r="J56" s="860"/>
      <c r="K56" s="860"/>
      <c r="L56" s="989"/>
      <c r="M56" s="989"/>
      <c r="N56" s="989"/>
      <c r="O56" s="989"/>
      <c r="P56" s="989"/>
      <c r="Q56" s="989"/>
      <c r="R56" s="989"/>
      <c r="S56" s="989"/>
      <c r="T56" s="989"/>
    </row>
    <row r="57" spans="1:20" ht="36" customHeight="1" x14ac:dyDescent="0.35">
      <c r="A57" s="860"/>
      <c r="B57" s="2113" t="s">
        <v>2209</v>
      </c>
      <c r="C57" s="2114"/>
      <c r="D57" s="2114"/>
      <c r="E57" s="2115"/>
      <c r="F57" s="1137"/>
      <c r="G57" s="2107"/>
      <c r="H57" s="2108"/>
      <c r="I57" s="2109"/>
      <c r="J57" s="860"/>
      <c r="K57" s="860"/>
      <c r="L57" s="989"/>
      <c r="M57" s="989"/>
      <c r="N57" s="989"/>
      <c r="O57" s="989"/>
      <c r="P57" s="989"/>
      <c r="Q57" s="989"/>
      <c r="R57" s="989"/>
      <c r="S57" s="989"/>
      <c r="T57" s="989"/>
    </row>
    <row r="58" spans="1:20" ht="45.75" customHeight="1" x14ac:dyDescent="0.35">
      <c r="A58" s="860"/>
      <c r="B58" s="2110" t="s">
        <v>2212</v>
      </c>
      <c r="C58" s="2111"/>
      <c r="D58" s="2111"/>
      <c r="E58" s="2112"/>
      <c r="F58" s="1137"/>
      <c r="G58" s="2107"/>
      <c r="H58" s="2108"/>
      <c r="I58" s="2109"/>
      <c r="J58" s="860"/>
      <c r="K58" s="860"/>
      <c r="L58" s="989"/>
      <c r="M58" s="989"/>
      <c r="N58" s="989"/>
      <c r="O58" s="989"/>
      <c r="P58" s="989"/>
      <c r="Q58" s="989"/>
      <c r="R58" s="989"/>
      <c r="S58" s="989"/>
      <c r="T58" s="989"/>
    </row>
    <row r="59" spans="1:20" ht="111.75" customHeight="1" x14ac:dyDescent="0.35">
      <c r="A59" s="860"/>
      <c r="B59" s="2110" t="s">
        <v>2270</v>
      </c>
      <c r="C59" s="2111"/>
      <c r="D59" s="2111"/>
      <c r="E59" s="2112"/>
      <c r="F59" s="1137"/>
      <c r="G59" s="2107"/>
      <c r="H59" s="2108"/>
      <c r="I59" s="2109"/>
      <c r="J59" s="860"/>
      <c r="K59" s="860"/>
      <c r="L59" s="989"/>
      <c r="M59" s="989"/>
      <c r="N59" s="989"/>
      <c r="O59" s="989"/>
      <c r="P59" s="989"/>
      <c r="Q59" s="989"/>
      <c r="R59" s="989"/>
      <c r="S59" s="989"/>
      <c r="T59" s="989"/>
    </row>
    <row r="60" spans="1:20" ht="50.25" customHeight="1" x14ac:dyDescent="0.35">
      <c r="A60" s="860"/>
      <c r="B60" s="2110" t="s">
        <v>2214</v>
      </c>
      <c r="C60" s="2111"/>
      <c r="D60" s="2111"/>
      <c r="E60" s="2112"/>
      <c r="F60" s="1137"/>
      <c r="G60" s="2107"/>
      <c r="H60" s="2108"/>
      <c r="I60" s="2109"/>
      <c r="J60" s="860"/>
      <c r="K60" s="860"/>
      <c r="L60" s="989"/>
      <c r="M60" s="989"/>
      <c r="N60" s="989"/>
      <c r="O60" s="989"/>
      <c r="P60" s="989"/>
      <c r="Q60" s="989"/>
      <c r="R60" s="989"/>
      <c r="S60" s="989"/>
      <c r="T60" s="989"/>
    </row>
    <row r="61" spans="1:20" ht="47.25" customHeight="1" thickBot="1" x14ac:dyDescent="0.4">
      <c r="A61" s="860"/>
      <c r="B61" s="2096" t="s">
        <v>2215</v>
      </c>
      <c r="C61" s="2097"/>
      <c r="D61" s="2097"/>
      <c r="E61" s="2098"/>
      <c r="F61" s="1207"/>
      <c r="G61" s="2099"/>
      <c r="H61" s="2100"/>
      <c r="I61" s="2101"/>
      <c r="J61" s="860"/>
      <c r="K61" s="860"/>
      <c r="L61" s="989"/>
      <c r="M61" s="989"/>
      <c r="N61" s="989"/>
      <c r="O61" s="989"/>
      <c r="P61" s="989"/>
      <c r="Q61" s="989"/>
      <c r="R61" s="989"/>
      <c r="S61" s="989"/>
      <c r="T61" s="989"/>
    </row>
    <row r="62" spans="1:20" x14ac:dyDescent="0.35">
      <c r="A62" s="860"/>
      <c r="B62" s="860"/>
      <c r="C62" s="860"/>
      <c r="D62" s="860"/>
      <c r="E62" s="860"/>
      <c r="F62" s="860"/>
      <c r="G62" s="860"/>
      <c r="H62" s="860"/>
      <c r="I62" s="860"/>
      <c r="J62" s="860"/>
      <c r="K62" s="860"/>
      <c r="L62" s="989"/>
      <c r="M62" s="989"/>
      <c r="N62" s="989"/>
      <c r="O62" s="989"/>
      <c r="P62" s="989"/>
      <c r="Q62" s="989"/>
      <c r="R62" s="989"/>
      <c r="S62" s="989"/>
      <c r="T62" s="989"/>
    </row>
    <row r="63" spans="1:20" ht="15" thickBot="1" x14ac:dyDescent="0.4">
      <c r="A63" s="860"/>
      <c r="B63" s="860"/>
      <c r="C63" s="860"/>
      <c r="D63" s="860"/>
      <c r="E63" s="860"/>
      <c r="F63" s="860"/>
      <c r="G63" s="860"/>
      <c r="H63" s="860"/>
      <c r="I63" s="860"/>
      <c r="J63" s="860"/>
      <c r="K63" s="860"/>
      <c r="L63" s="989"/>
      <c r="M63" s="989"/>
      <c r="N63" s="989"/>
      <c r="O63" s="989"/>
      <c r="P63" s="989"/>
      <c r="Q63" s="989"/>
      <c r="R63" s="989"/>
      <c r="S63" s="989"/>
      <c r="T63" s="989"/>
    </row>
    <row r="64" spans="1:20" ht="15" thickBot="1" x14ac:dyDescent="0.4">
      <c r="A64" s="860"/>
      <c r="B64" s="2163" t="s">
        <v>2216</v>
      </c>
      <c r="C64" s="2164"/>
      <c r="D64" s="2164"/>
      <c r="E64" s="2164"/>
      <c r="F64" s="2164"/>
      <c r="G64" s="2164"/>
      <c r="H64" s="2164"/>
      <c r="I64" s="2164"/>
      <c r="J64" s="2164"/>
      <c r="K64" s="2164"/>
      <c r="L64" s="2164"/>
      <c r="M64" s="2164"/>
      <c r="N64" s="2164"/>
      <c r="O64" s="2164"/>
      <c r="P64" s="2164"/>
      <c r="Q64" s="2164"/>
      <c r="R64" s="2164"/>
      <c r="S64" s="2164"/>
      <c r="T64" s="2165"/>
    </row>
    <row r="65" spans="1:20" x14ac:dyDescent="0.35">
      <c r="A65" s="860"/>
      <c r="B65" s="950" t="s">
        <v>2217</v>
      </c>
      <c r="C65" s="860"/>
      <c r="D65" s="860"/>
      <c r="E65" s="860"/>
      <c r="F65" s="860"/>
      <c r="G65" s="860"/>
      <c r="H65" s="860"/>
      <c r="I65" s="860"/>
      <c r="J65" s="860"/>
      <c r="K65" s="860"/>
      <c r="L65" s="989"/>
      <c r="M65" s="989"/>
      <c r="N65" s="989"/>
      <c r="O65" s="989"/>
      <c r="P65" s="989"/>
      <c r="Q65" s="989"/>
      <c r="R65" s="989"/>
      <c r="S65" s="989"/>
      <c r="T65" s="989"/>
    </row>
    <row r="66" spans="1:20" x14ac:dyDescent="0.35">
      <c r="A66" s="860"/>
      <c r="B66" s="951" t="e">
        <f>+CONCATENATE("Il valore minimo rendicontabile per è pari ad € ",TEXT(K17*0.1,"#.##0,00")," ed il valore delle fatture non quietanzate non può essere superiore ad € ",TEXT(K17*0.2,"#.##0,00"))</f>
        <v>#VALUE!</v>
      </c>
      <c r="C66" s="951"/>
      <c r="D66" s="951"/>
      <c r="E66" s="951"/>
      <c r="F66" s="951"/>
      <c r="G66" s="951"/>
      <c r="H66" s="951"/>
      <c r="I66" s="951"/>
      <c r="J66" s="951"/>
      <c r="K66" s="951"/>
      <c r="L66" s="989"/>
      <c r="M66" s="989"/>
      <c r="N66" s="989"/>
      <c r="O66" s="989"/>
      <c r="P66" s="989"/>
      <c r="Q66" s="989"/>
      <c r="R66" s="989"/>
      <c r="S66" s="989"/>
      <c r="T66" s="989"/>
    </row>
    <row r="67" spans="1:20" ht="15" thickBot="1" x14ac:dyDescent="0.4">
      <c r="A67" s="860"/>
      <c r="B67" s="950"/>
      <c r="C67" s="860"/>
      <c r="D67" s="860"/>
      <c r="E67" s="860"/>
      <c r="F67" s="860"/>
      <c r="G67" s="860"/>
      <c r="H67" s="860"/>
      <c r="I67" s="860"/>
      <c r="J67" s="860"/>
      <c r="K67" s="860"/>
      <c r="L67" s="989"/>
      <c r="M67" s="989"/>
      <c r="N67" s="989"/>
      <c r="O67" s="989"/>
      <c r="P67" s="989"/>
      <c r="Q67" s="989"/>
      <c r="R67" s="989"/>
      <c r="S67" s="989"/>
      <c r="T67" s="989"/>
    </row>
    <row r="68" spans="1:20" ht="23.5" thickBot="1" x14ac:dyDescent="0.4">
      <c r="A68" s="860"/>
      <c r="B68" s="993" t="s">
        <v>2218</v>
      </c>
      <c r="C68" s="952" t="s">
        <v>2219</v>
      </c>
      <c r="D68" s="952" t="s">
        <v>2220</v>
      </c>
      <c r="E68" s="952" t="s">
        <v>2221</v>
      </c>
      <c r="F68" s="952" t="s">
        <v>2222</v>
      </c>
      <c r="G68" s="952" t="s">
        <v>2223</v>
      </c>
      <c r="H68" s="974" t="s">
        <v>2224</v>
      </c>
      <c r="I68" s="974" t="s">
        <v>2225</v>
      </c>
      <c r="J68" s="994" t="s">
        <v>2067</v>
      </c>
      <c r="K68" s="952" t="s">
        <v>2226</v>
      </c>
      <c r="L68" s="974" t="s">
        <v>2069</v>
      </c>
      <c r="M68" s="974" t="s">
        <v>2227</v>
      </c>
      <c r="N68" s="974" t="s">
        <v>2228</v>
      </c>
      <c r="O68" s="974" t="s">
        <v>2229</v>
      </c>
      <c r="P68" s="974" t="s">
        <v>2230</v>
      </c>
      <c r="Q68" s="974" t="s">
        <v>2231</v>
      </c>
      <c r="R68" s="2180" t="s">
        <v>574</v>
      </c>
      <c r="S68" s="2181"/>
    </row>
    <row r="69" spans="1:20" ht="26.25" customHeight="1" x14ac:dyDescent="0.35">
      <c r="A69" s="860"/>
      <c r="B69" s="953"/>
      <c r="C69" s="954"/>
      <c r="D69" s="955"/>
      <c r="E69" s="954"/>
      <c r="F69" s="957"/>
      <c r="G69" s="956"/>
      <c r="H69" s="1020"/>
      <c r="I69" s="985"/>
      <c r="J69" s="1059"/>
      <c r="K69" s="995"/>
      <c r="L69" s="985"/>
      <c r="M69" s="985"/>
      <c r="N69" s="985"/>
      <c r="O69" s="985"/>
      <c r="P69" s="985"/>
      <c r="Q69" s="985"/>
      <c r="R69" s="2188"/>
      <c r="S69" s="2189"/>
    </row>
    <row r="70" spans="1:20" ht="31.5" customHeight="1" x14ac:dyDescent="0.35">
      <c r="A70" s="860"/>
      <c r="B70" s="1005"/>
      <c r="C70" s="992"/>
      <c r="D70" s="1006"/>
      <c r="E70" s="992"/>
      <c r="F70" s="995"/>
      <c r="G70" s="1007"/>
      <c r="H70" s="1021"/>
      <c r="I70" s="1008"/>
      <c r="J70" s="1060"/>
      <c r="K70" s="995"/>
      <c r="L70" s="1008"/>
      <c r="M70" s="1008"/>
      <c r="N70" s="1008"/>
      <c r="O70" s="1008"/>
      <c r="P70" s="1008"/>
      <c r="Q70" s="1008"/>
      <c r="R70" s="2190"/>
      <c r="S70" s="2191"/>
    </row>
    <row r="71" spans="1:20" ht="39.75" customHeight="1" thickBot="1" x14ac:dyDescent="0.4">
      <c r="A71" s="860"/>
      <c r="B71" s="1005"/>
      <c r="C71" s="992"/>
      <c r="D71" s="1006"/>
      <c r="E71" s="992"/>
      <c r="F71" s="995"/>
      <c r="G71" s="1007"/>
      <c r="H71" s="1021"/>
      <c r="I71" s="1008"/>
      <c r="J71" s="1060"/>
      <c r="K71" s="995"/>
      <c r="L71" s="1008"/>
      <c r="M71" s="1008"/>
      <c r="N71" s="1008"/>
      <c r="O71" s="1008"/>
      <c r="P71" s="1008"/>
      <c r="Q71" s="1008"/>
      <c r="R71" s="2192"/>
      <c r="S71" s="2193"/>
    </row>
    <row r="72" spans="1:20" ht="15" thickBot="1" x14ac:dyDescent="0.4">
      <c r="A72" s="860"/>
      <c r="B72" s="968"/>
      <c r="C72" s="969"/>
      <c r="D72" s="969"/>
      <c r="E72" s="981"/>
      <c r="F72" s="1029">
        <f>SUM(F69:F71)</f>
        <v>0</v>
      </c>
      <c r="G72" s="1029">
        <f>SUM(G69:G71)</f>
        <v>0</v>
      </c>
      <c r="H72" s="1029">
        <f>SUM(H69:H71)</f>
        <v>0</v>
      </c>
      <c r="I72" s="1030"/>
      <c r="J72" s="974"/>
      <c r="K72" s="1029">
        <f>+SUM(K69:K71)</f>
        <v>0</v>
      </c>
      <c r="L72" s="1030">
        <f>+SUM(L69:L71)</f>
        <v>0</v>
      </c>
      <c r="M72" s="991"/>
      <c r="N72" s="991"/>
      <c r="O72" s="991"/>
      <c r="P72" s="991"/>
      <c r="Q72" s="991"/>
      <c r="R72" s="2178"/>
      <c r="S72" s="2179"/>
    </row>
    <row r="73" spans="1:20" x14ac:dyDescent="0.35">
      <c r="A73" s="860"/>
      <c r="B73" s="860"/>
      <c r="C73" s="860"/>
      <c r="D73" s="860"/>
      <c r="E73" s="860"/>
      <c r="F73" s="860"/>
      <c r="G73" s="860"/>
      <c r="H73" s="860"/>
      <c r="I73" s="860"/>
      <c r="J73" s="860"/>
      <c r="K73" s="860"/>
      <c r="L73" s="989"/>
      <c r="M73" s="989"/>
      <c r="N73" s="989"/>
      <c r="O73" s="989"/>
      <c r="P73" s="989"/>
      <c r="Q73" s="989"/>
      <c r="R73" s="989"/>
      <c r="S73" s="989"/>
      <c r="T73" s="989"/>
    </row>
    <row r="74" spans="1:20" ht="15" thickBot="1" x14ac:dyDescent="0.4">
      <c r="A74" s="860"/>
      <c r="B74" s="998" t="s">
        <v>2232</v>
      </c>
      <c r="C74" s="860"/>
      <c r="D74" s="860"/>
      <c r="E74" s="860"/>
      <c r="F74" s="860"/>
      <c r="G74" s="860"/>
      <c r="H74" s="860"/>
      <c r="I74" s="860"/>
      <c r="J74" s="860"/>
      <c r="K74" s="860"/>
      <c r="L74" s="989"/>
      <c r="M74" s="989"/>
      <c r="N74" s="989"/>
      <c r="O74" s="989"/>
      <c r="P74" s="989"/>
      <c r="Q74" s="989"/>
      <c r="R74" s="989"/>
      <c r="S74" s="989"/>
      <c r="T74" s="989"/>
    </row>
    <row r="75" spans="1:20" x14ac:dyDescent="0.35">
      <c r="A75" s="860"/>
      <c r="B75" s="2169"/>
      <c r="C75" s="2170"/>
      <c r="D75" s="2170"/>
      <c r="E75" s="2170"/>
      <c r="F75" s="2170"/>
      <c r="G75" s="2170"/>
      <c r="H75" s="2170"/>
      <c r="I75" s="2170"/>
      <c r="J75" s="2170"/>
      <c r="K75" s="2170"/>
      <c r="L75" s="2170"/>
      <c r="M75" s="2170"/>
      <c r="N75" s="2170"/>
      <c r="O75" s="2170"/>
      <c r="P75" s="2170"/>
      <c r="Q75" s="2170"/>
      <c r="R75" s="2170"/>
      <c r="S75" s="2171"/>
      <c r="T75" s="989"/>
    </row>
    <row r="76" spans="1:20" x14ac:dyDescent="0.35">
      <c r="A76" s="860"/>
      <c r="B76" s="2172"/>
      <c r="C76" s="2173"/>
      <c r="D76" s="2173"/>
      <c r="E76" s="2173"/>
      <c r="F76" s="2173"/>
      <c r="G76" s="2173"/>
      <c r="H76" s="2173"/>
      <c r="I76" s="2173"/>
      <c r="J76" s="2173"/>
      <c r="K76" s="2173"/>
      <c r="L76" s="2173"/>
      <c r="M76" s="2173"/>
      <c r="N76" s="2173"/>
      <c r="O76" s="2173"/>
      <c r="P76" s="2173"/>
      <c r="Q76" s="2173"/>
      <c r="R76" s="2173"/>
      <c r="S76" s="2174"/>
      <c r="T76" s="989"/>
    </row>
    <row r="77" spans="1:20" x14ac:dyDescent="0.35">
      <c r="A77" s="860"/>
      <c r="B77" s="2172"/>
      <c r="C77" s="2173"/>
      <c r="D77" s="2173"/>
      <c r="E77" s="2173"/>
      <c r="F77" s="2173"/>
      <c r="G77" s="2173"/>
      <c r="H77" s="2173"/>
      <c r="I77" s="2173"/>
      <c r="J77" s="2173"/>
      <c r="K77" s="2173"/>
      <c r="L77" s="2173"/>
      <c r="M77" s="2173"/>
      <c r="N77" s="2173"/>
      <c r="O77" s="2173"/>
      <c r="P77" s="2173"/>
      <c r="Q77" s="2173"/>
      <c r="R77" s="2173"/>
      <c r="S77" s="2174"/>
      <c r="T77" s="989"/>
    </row>
    <row r="78" spans="1:20" x14ac:dyDescent="0.35">
      <c r="A78" s="860"/>
      <c r="B78" s="2172"/>
      <c r="C78" s="2173"/>
      <c r="D78" s="2173"/>
      <c r="E78" s="2173"/>
      <c r="F78" s="2173"/>
      <c r="G78" s="2173"/>
      <c r="H78" s="2173"/>
      <c r="I78" s="2173"/>
      <c r="J78" s="2173"/>
      <c r="K78" s="2173"/>
      <c r="L78" s="2173"/>
      <c r="M78" s="2173"/>
      <c r="N78" s="2173"/>
      <c r="O78" s="2173"/>
      <c r="P78" s="2173"/>
      <c r="Q78" s="2173"/>
      <c r="R78" s="2173"/>
      <c r="S78" s="2174"/>
      <c r="T78" s="989"/>
    </row>
    <row r="79" spans="1:20" ht="15" thickBot="1" x14ac:dyDescent="0.4">
      <c r="A79" s="860"/>
      <c r="B79" s="2166"/>
      <c r="C79" s="2167"/>
      <c r="D79" s="2167"/>
      <c r="E79" s="2167"/>
      <c r="F79" s="2167"/>
      <c r="G79" s="2167"/>
      <c r="H79" s="2167"/>
      <c r="I79" s="2167"/>
      <c r="J79" s="2167"/>
      <c r="K79" s="2167"/>
      <c r="L79" s="2167"/>
      <c r="M79" s="2167"/>
      <c r="N79" s="2167"/>
      <c r="O79" s="2167"/>
      <c r="P79" s="2167"/>
      <c r="Q79" s="2167"/>
      <c r="R79" s="2167"/>
      <c r="S79" s="2168"/>
      <c r="T79" s="989"/>
    </row>
    <row r="80" spans="1:20" ht="15" thickBot="1" x14ac:dyDescent="0.4">
      <c r="A80" s="860"/>
      <c r="B80" s="860"/>
      <c r="C80" s="860"/>
      <c r="D80" s="860"/>
      <c r="E80" s="860"/>
      <c r="F80" s="860"/>
      <c r="G80" s="860"/>
      <c r="H80" s="860"/>
      <c r="I80" s="860"/>
      <c r="J80" s="860"/>
      <c r="K80" s="860"/>
      <c r="L80" s="989"/>
      <c r="M80" s="989"/>
      <c r="N80" s="989"/>
      <c r="O80" s="989"/>
      <c r="P80" s="989"/>
      <c r="Q80" s="989"/>
      <c r="R80" s="989"/>
      <c r="S80" s="989"/>
      <c r="T80" s="989"/>
    </row>
    <row r="81" spans="1:20" ht="15" thickBot="1" x14ac:dyDescent="0.4">
      <c r="A81" s="860"/>
      <c r="B81" s="970" t="s">
        <v>2233</v>
      </c>
      <c r="C81" s="971"/>
      <c r="D81" s="972"/>
      <c r="E81" s="973" t="s">
        <v>1563</v>
      </c>
      <c r="F81" s="1031" t="str">
        <f>+IF(AND(E81="Si",Anagrafica!$C$31=0),"Non è prevista la spesa per capitale circolante netto","")</f>
        <v/>
      </c>
      <c r="G81" s="860"/>
      <c r="H81" s="860"/>
      <c r="I81" s="860"/>
      <c r="J81" s="860"/>
      <c r="K81" s="860"/>
      <c r="L81" s="989"/>
      <c r="M81" s="989"/>
      <c r="N81" s="989"/>
      <c r="O81" s="989"/>
      <c r="P81" s="989"/>
      <c r="Q81" s="989"/>
      <c r="R81" s="989"/>
      <c r="S81" s="989"/>
      <c r="T81" s="989"/>
    </row>
    <row r="82" spans="1:20" ht="15" thickBot="1" x14ac:dyDescent="0.4">
      <c r="A82" s="860"/>
      <c r="B82" s="2175" t="s">
        <v>2234</v>
      </c>
      <c r="C82" s="2176"/>
      <c r="D82" s="2177"/>
      <c r="E82" s="1026">
        <v>0</v>
      </c>
      <c r="F82" s="860"/>
      <c r="G82" s="860"/>
      <c r="H82" s="860"/>
      <c r="I82" s="860"/>
      <c r="J82" s="860"/>
      <c r="K82" s="860"/>
      <c r="L82" s="989"/>
      <c r="M82" s="989"/>
      <c r="N82" s="989"/>
      <c r="O82" s="989"/>
      <c r="P82" s="989"/>
      <c r="Q82" s="989"/>
      <c r="R82" s="989"/>
      <c r="S82" s="989"/>
      <c r="T82" s="989"/>
    </row>
    <row r="83" spans="1:20" ht="15" thickBot="1" x14ac:dyDescent="0.4">
      <c r="A83" s="860"/>
      <c r="B83" s="2175" t="s">
        <v>2235</v>
      </c>
      <c r="C83" s="2176"/>
      <c r="D83" s="2177"/>
      <c r="E83" s="1120">
        <v>0</v>
      </c>
      <c r="F83" s="860"/>
      <c r="G83" s="860"/>
      <c r="H83" s="860"/>
      <c r="I83" s="860"/>
      <c r="J83" s="860"/>
      <c r="K83" s="860"/>
      <c r="L83" s="989"/>
      <c r="M83" s="989"/>
      <c r="N83" s="989"/>
      <c r="O83" s="989"/>
      <c r="P83" s="989"/>
      <c r="Q83" s="989"/>
      <c r="R83" s="989"/>
      <c r="S83" s="989"/>
      <c r="T83" s="989"/>
    </row>
    <row r="84" spans="1:20" x14ac:dyDescent="0.35">
      <c r="A84" s="860"/>
      <c r="B84" s="860"/>
      <c r="C84" s="860"/>
      <c r="D84" s="860"/>
      <c r="E84" s="860"/>
      <c r="F84" s="860"/>
      <c r="G84" s="860"/>
      <c r="H84" s="860"/>
      <c r="I84" s="860"/>
      <c r="J84" s="860"/>
      <c r="K84" s="989"/>
      <c r="L84" s="989"/>
      <c r="M84" s="989"/>
      <c r="N84" s="989"/>
      <c r="O84" s="989"/>
      <c r="P84" s="989"/>
      <c r="Q84" s="989"/>
      <c r="R84" s="989"/>
      <c r="S84" s="989"/>
      <c r="T84" s="989"/>
    </row>
    <row r="85" spans="1:20" ht="15" thickBot="1" x14ac:dyDescent="0.4">
      <c r="A85" s="860"/>
      <c r="B85" s="950" t="s">
        <v>2236</v>
      </c>
      <c r="C85" s="860"/>
      <c r="D85" s="860"/>
      <c r="E85" s="860"/>
      <c r="F85" s="860"/>
      <c r="G85" s="860"/>
      <c r="H85" s="860"/>
      <c r="I85" s="860"/>
      <c r="J85" s="860"/>
      <c r="K85" s="989"/>
      <c r="L85" s="989"/>
      <c r="M85" s="989"/>
      <c r="N85" s="989"/>
      <c r="O85" s="989"/>
      <c r="P85" s="989"/>
      <c r="Q85" s="989"/>
      <c r="R85" s="989"/>
      <c r="S85" s="989"/>
      <c r="T85" s="989"/>
    </row>
    <row r="86" spans="1:20" ht="23.5" thickBot="1" x14ac:dyDescent="0.4">
      <c r="A86" s="860"/>
      <c r="B86" s="993" t="s">
        <v>2218</v>
      </c>
      <c r="C86" s="952" t="s">
        <v>2219</v>
      </c>
      <c r="D86" s="952" t="s">
        <v>2220</v>
      </c>
      <c r="E86" s="974" t="s">
        <v>2237</v>
      </c>
      <c r="F86" s="952" t="s">
        <v>2238</v>
      </c>
      <c r="G86" s="974" t="s">
        <v>2239</v>
      </c>
      <c r="H86" s="974" t="s">
        <v>2240</v>
      </c>
      <c r="I86" s="974" t="s">
        <v>2241</v>
      </c>
      <c r="J86" s="2180" t="s">
        <v>574</v>
      </c>
      <c r="K86" s="2181"/>
      <c r="L86" s="989"/>
      <c r="M86" s="989"/>
      <c r="N86" s="989"/>
      <c r="O86" s="989"/>
      <c r="P86" s="989"/>
      <c r="Q86" s="989"/>
      <c r="R86" s="989"/>
      <c r="S86" s="989"/>
      <c r="T86" s="989"/>
    </row>
    <row r="87" spans="1:20" x14ac:dyDescent="0.35">
      <c r="A87" s="860"/>
      <c r="B87" s="953"/>
      <c r="C87" s="954"/>
      <c r="D87" s="955"/>
      <c r="E87" s="975"/>
      <c r="F87" s="954"/>
      <c r="G87" s="980"/>
      <c r="H87" s="980"/>
      <c r="I87" s="980"/>
      <c r="J87" s="2182"/>
      <c r="K87" s="2183"/>
      <c r="L87" s="989"/>
      <c r="M87" s="989"/>
      <c r="N87" s="989"/>
      <c r="O87" s="989"/>
      <c r="P87" s="989"/>
      <c r="Q87" s="989"/>
      <c r="R87" s="989"/>
      <c r="S87" s="989"/>
      <c r="T87" s="989"/>
    </row>
    <row r="88" spans="1:20" x14ac:dyDescent="0.35">
      <c r="A88" s="860"/>
      <c r="B88" s="958"/>
      <c r="C88" s="959"/>
      <c r="D88" s="960"/>
      <c r="E88" s="976"/>
      <c r="F88" s="992"/>
      <c r="G88" s="959"/>
      <c r="H88" s="959"/>
      <c r="I88" s="959"/>
      <c r="J88" s="2184"/>
      <c r="K88" s="2185"/>
      <c r="L88" s="989"/>
      <c r="M88" s="989"/>
      <c r="N88" s="989"/>
      <c r="O88" s="989"/>
      <c r="P88" s="989"/>
      <c r="Q88" s="989"/>
      <c r="R88" s="989"/>
      <c r="S88" s="989"/>
      <c r="T88" s="989"/>
    </row>
    <row r="89" spans="1:20" ht="15" thickBot="1" x14ac:dyDescent="0.4">
      <c r="A89" s="860"/>
      <c r="B89" s="963"/>
      <c r="C89" s="964"/>
      <c r="D89" s="965"/>
      <c r="E89" s="977"/>
      <c r="F89" s="964"/>
      <c r="G89" s="984"/>
      <c r="H89" s="984"/>
      <c r="I89" s="984"/>
      <c r="J89" s="2186"/>
      <c r="K89" s="2187"/>
      <c r="L89" s="989"/>
      <c r="M89" s="989"/>
      <c r="N89" s="989"/>
      <c r="O89" s="989"/>
      <c r="P89" s="989"/>
      <c r="Q89" s="989"/>
      <c r="R89" s="989"/>
      <c r="S89" s="989"/>
      <c r="T89" s="989"/>
    </row>
    <row r="90" spans="1:20" ht="15" thickBot="1" x14ac:dyDescent="0.4">
      <c r="A90" s="860"/>
      <c r="B90" s="968"/>
      <c r="C90" s="969"/>
      <c r="D90" s="981"/>
      <c r="E90" s="982">
        <f>SUM(E87:E89)</f>
        <v>0</v>
      </c>
      <c r="F90" s="983"/>
      <c r="G90" s="981"/>
      <c r="H90" s="981"/>
      <c r="I90" s="981"/>
      <c r="J90" s="2180"/>
      <c r="K90" s="2181"/>
      <c r="L90" s="989"/>
      <c r="M90" s="989"/>
      <c r="N90" s="989"/>
      <c r="O90" s="989"/>
      <c r="P90" s="989"/>
      <c r="Q90" s="989"/>
      <c r="R90" s="989"/>
      <c r="S90" s="989"/>
      <c r="T90" s="989"/>
    </row>
    <row r="91" spans="1:20" x14ac:dyDescent="0.35">
      <c r="A91" s="860"/>
      <c r="B91" s="860"/>
      <c r="C91" s="860"/>
      <c r="D91" s="860"/>
      <c r="E91" s="860"/>
      <c r="F91" s="860"/>
      <c r="G91" s="860"/>
      <c r="H91" s="860"/>
      <c r="I91" s="860"/>
      <c r="J91" s="860"/>
      <c r="K91" s="860"/>
      <c r="L91" s="989"/>
      <c r="M91" s="989"/>
      <c r="N91" s="989"/>
      <c r="O91" s="989"/>
      <c r="P91" s="989"/>
      <c r="Q91" s="989"/>
      <c r="R91" s="989"/>
      <c r="S91" s="989"/>
      <c r="T91" s="989"/>
    </row>
    <row r="92" spans="1:20" ht="15" thickBot="1" x14ac:dyDescent="0.4">
      <c r="A92" s="860"/>
      <c r="B92" s="998" t="s">
        <v>2232</v>
      </c>
      <c r="C92" s="860"/>
      <c r="D92" s="860"/>
      <c r="E92" s="860"/>
      <c r="F92" s="860"/>
      <c r="G92" s="860"/>
      <c r="H92" s="860"/>
      <c r="I92" s="860"/>
      <c r="J92" s="860"/>
      <c r="K92" s="860"/>
      <c r="L92" s="989"/>
      <c r="M92" s="989"/>
      <c r="N92" s="989"/>
      <c r="O92" s="989"/>
      <c r="P92" s="989"/>
      <c r="Q92" s="989"/>
      <c r="R92" s="989"/>
      <c r="S92" s="989"/>
      <c r="T92" s="989"/>
    </row>
    <row r="93" spans="1:20" x14ac:dyDescent="0.35">
      <c r="A93" s="860"/>
      <c r="B93" s="2169"/>
      <c r="C93" s="2170"/>
      <c r="D93" s="2170"/>
      <c r="E93" s="2170"/>
      <c r="F93" s="2170"/>
      <c r="G93" s="2170"/>
      <c r="H93" s="2170"/>
      <c r="I93" s="2170"/>
      <c r="J93" s="2170"/>
      <c r="K93" s="2171"/>
      <c r="L93" s="989"/>
      <c r="M93" s="989"/>
      <c r="N93" s="989"/>
      <c r="O93" s="989"/>
      <c r="P93" s="989"/>
      <c r="Q93" s="989"/>
      <c r="R93" s="989"/>
      <c r="S93" s="989"/>
      <c r="T93" s="989"/>
    </row>
    <row r="94" spans="1:20" x14ac:dyDescent="0.35">
      <c r="A94" s="860"/>
      <c r="B94" s="2172"/>
      <c r="C94" s="2173"/>
      <c r="D94" s="2173"/>
      <c r="E94" s="2173"/>
      <c r="F94" s="2173"/>
      <c r="G94" s="2173"/>
      <c r="H94" s="2173"/>
      <c r="I94" s="2173"/>
      <c r="J94" s="2173"/>
      <c r="K94" s="2174"/>
      <c r="L94" s="989"/>
      <c r="M94" s="989"/>
      <c r="N94" s="989"/>
      <c r="O94" s="989"/>
      <c r="P94" s="989"/>
      <c r="Q94" s="989"/>
      <c r="R94" s="989"/>
      <c r="S94" s="989"/>
      <c r="T94" s="989"/>
    </row>
    <row r="95" spans="1:20" x14ac:dyDescent="0.35">
      <c r="A95" s="860"/>
      <c r="B95" s="2172"/>
      <c r="C95" s="2173"/>
      <c r="D95" s="2173"/>
      <c r="E95" s="2173"/>
      <c r="F95" s="2173"/>
      <c r="G95" s="2173"/>
      <c r="H95" s="2173"/>
      <c r="I95" s="2173"/>
      <c r="J95" s="2173"/>
      <c r="K95" s="2174"/>
      <c r="L95" s="989"/>
      <c r="M95" s="989"/>
      <c r="N95" s="989"/>
      <c r="O95" s="989"/>
      <c r="P95" s="989"/>
      <c r="Q95" s="989"/>
      <c r="R95" s="989"/>
      <c r="S95" s="989"/>
      <c r="T95" s="989"/>
    </row>
    <row r="96" spans="1:20" ht="15" thickBot="1" x14ac:dyDescent="0.4">
      <c r="A96" s="860"/>
      <c r="B96" s="2166"/>
      <c r="C96" s="2167"/>
      <c r="D96" s="2167"/>
      <c r="E96" s="2167"/>
      <c r="F96" s="2167"/>
      <c r="G96" s="2167"/>
      <c r="H96" s="2167"/>
      <c r="I96" s="2167"/>
      <c r="J96" s="2167"/>
      <c r="K96" s="2168"/>
      <c r="L96" s="989"/>
      <c r="M96" s="989"/>
      <c r="N96" s="989"/>
      <c r="O96" s="989"/>
      <c r="P96" s="989"/>
      <c r="Q96" s="989"/>
      <c r="R96" s="989"/>
      <c r="S96" s="989"/>
      <c r="T96" s="989"/>
    </row>
    <row r="97" spans="1:20" x14ac:dyDescent="0.35">
      <c r="A97" s="860"/>
      <c r="B97" s="978" t="s">
        <v>2242</v>
      </c>
      <c r="C97" s="860"/>
      <c r="D97" s="860"/>
      <c r="E97" s="860"/>
      <c r="F97" s="860"/>
      <c r="G97" s="860"/>
      <c r="H97" s="860"/>
      <c r="I97" s="860"/>
      <c r="J97" s="860"/>
      <c r="K97" s="860"/>
      <c r="L97" s="989"/>
      <c r="M97" s="989"/>
      <c r="N97" s="989"/>
      <c r="O97" s="989"/>
      <c r="P97" s="989"/>
      <c r="Q97" s="989"/>
      <c r="R97" s="989"/>
      <c r="S97" s="989"/>
      <c r="T97" s="989"/>
    </row>
    <row r="98" spans="1:20" x14ac:dyDescent="0.35">
      <c r="A98" s="860"/>
      <c r="B98" s="978"/>
      <c r="C98" s="860"/>
      <c r="D98" s="860"/>
      <c r="E98" s="860"/>
      <c r="F98" s="860"/>
      <c r="G98" s="860"/>
      <c r="H98" s="860"/>
      <c r="I98" s="860"/>
      <c r="J98" s="860"/>
      <c r="K98" s="860"/>
      <c r="L98" s="989"/>
      <c r="M98" s="989"/>
      <c r="N98" s="989"/>
      <c r="O98" s="989"/>
      <c r="P98" s="989"/>
      <c r="Q98" s="989"/>
      <c r="R98" s="989"/>
      <c r="S98" s="989"/>
      <c r="T98" s="989"/>
    </row>
    <row r="99" spans="1:20" x14ac:dyDescent="0.35">
      <c r="A99" s="860"/>
      <c r="B99" s="950" t="s">
        <v>2271</v>
      </c>
      <c r="C99" s="860"/>
      <c r="D99" s="860"/>
      <c r="E99" s="860"/>
      <c r="F99" s="860"/>
      <c r="G99" s="860"/>
      <c r="H99" s="860"/>
      <c r="I99" s="860"/>
      <c r="J99" s="860"/>
      <c r="K99" s="860"/>
      <c r="L99" s="989"/>
      <c r="M99" s="989"/>
      <c r="N99" s="989"/>
      <c r="O99" s="989"/>
      <c r="P99" s="989"/>
      <c r="Q99" s="989"/>
      <c r="R99" s="989"/>
      <c r="S99" s="989"/>
      <c r="T99" s="989"/>
    </row>
    <row r="100" spans="1:20" x14ac:dyDescent="0.35">
      <c r="A100" s="860"/>
      <c r="B100" s="2229" t="str">
        <f ca="1">+CONCATENATE("Evidenza dell'avvenuto pagamento delle fatture rendicontate nel precedente SAL pari ad €  ",TEXT('1 SAL'!E20,"#.###0,00"),"")</f>
        <v xml:space="preserve">Evidenza dell'avvenuto pagamento delle fatture rendicontate nel precedente SAL pari ad €  </v>
      </c>
      <c r="C100" s="2230"/>
      <c r="D100" s="2230"/>
      <c r="E100" s="2230"/>
      <c r="F100" s="2230"/>
      <c r="G100" s="2230"/>
      <c r="H100" s="2230"/>
      <c r="I100" s="2230"/>
      <c r="J100" s="2230"/>
      <c r="K100" s="2230"/>
      <c r="L100" s="2230"/>
      <c r="M100" s="2230"/>
      <c r="N100" s="2230"/>
      <c r="O100" s="2230"/>
      <c r="P100" s="2230"/>
      <c r="Q100" s="2230"/>
      <c r="R100" s="2230"/>
      <c r="S100" s="2230"/>
      <c r="T100" s="2230"/>
    </row>
    <row r="101" spans="1:20" ht="15" thickBot="1" x14ac:dyDescent="0.4">
      <c r="A101" s="860"/>
      <c r="B101" s="860"/>
      <c r="C101" s="860"/>
      <c r="D101" s="860"/>
      <c r="E101" s="860"/>
      <c r="F101" s="860"/>
      <c r="G101" s="860"/>
      <c r="H101" s="860"/>
      <c r="I101" s="860"/>
      <c r="J101" s="860"/>
      <c r="K101" s="860"/>
      <c r="L101" s="989"/>
      <c r="M101" s="989"/>
      <c r="N101" s="989"/>
      <c r="O101" s="989"/>
      <c r="P101" s="989"/>
      <c r="Q101" s="989"/>
      <c r="R101" s="989"/>
      <c r="S101" s="989"/>
      <c r="T101" s="989"/>
    </row>
    <row r="102" spans="1:20" ht="23.5" thickBot="1" x14ac:dyDescent="0.4">
      <c r="A102" s="860"/>
      <c r="B102" s="993" t="s">
        <v>2218</v>
      </c>
      <c r="C102" s="952" t="s">
        <v>2219</v>
      </c>
      <c r="D102" s="952" t="s">
        <v>2220</v>
      </c>
      <c r="E102" s="974" t="s">
        <v>2237</v>
      </c>
      <c r="F102" s="952" t="s">
        <v>2238</v>
      </c>
      <c r="G102" s="952" t="s">
        <v>2239</v>
      </c>
      <c r="H102" s="1045" t="s">
        <v>2240</v>
      </c>
      <c r="I102" s="974" t="s">
        <v>2241</v>
      </c>
      <c r="J102" s="952" t="s">
        <v>2262</v>
      </c>
      <c r="K102" s="997" t="s">
        <v>574</v>
      </c>
      <c r="L102" s="989"/>
      <c r="M102" s="989"/>
      <c r="N102" s="989"/>
      <c r="O102" s="989"/>
      <c r="P102" s="989"/>
      <c r="Q102" s="989"/>
      <c r="R102" s="989"/>
      <c r="S102" s="989"/>
      <c r="T102" s="989"/>
    </row>
    <row r="103" spans="1:20" x14ac:dyDescent="0.35">
      <c r="A103" s="860"/>
      <c r="B103" s="1039"/>
      <c r="C103" s="1040"/>
      <c r="D103" s="1036"/>
      <c r="E103" s="1037"/>
      <c r="F103" s="1038"/>
      <c r="G103" s="1050"/>
      <c r="H103" s="1046"/>
      <c r="I103" s="980"/>
      <c r="J103" s="980" t="s">
        <v>709</v>
      </c>
      <c r="K103" s="1055"/>
      <c r="L103" s="989"/>
      <c r="M103" s="989"/>
      <c r="N103" s="989"/>
      <c r="O103" s="989"/>
      <c r="P103" s="989"/>
      <c r="Q103" s="989"/>
      <c r="R103" s="989"/>
      <c r="S103" s="989"/>
      <c r="T103" s="989"/>
    </row>
    <row r="104" spans="1:20" x14ac:dyDescent="0.35">
      <c r="A104" s="860"/>
      <c r="B104" s="1039"/>
      <c r="C104" s="1040"/>
      <c r="D104" s="1041"/>
      <c r="E104" s="1042"/>
      <c r="F104" s="1043"/>
      <c r="G104" s="1051"/>
      <c r="H104" s="1200"/>
      <c r="I104" s="1201"/>
      <c r="J104" s="1201"/>
      <c r="K104" s="1202"/>
      <c r="L104" s="989"/>
      <c r="M104" s="989"/>
      <c r="N104" s="989"/>
      <c r="O104" s="989"/>
      <c r="P104" s="989"/>
      <c r="Q104" s="989"/>
      <c r="R104" s="989"/>
      <c r="S104" s="989"/>
      <c r="T104" s="989"/>
    </row>
    <row r="105" spans="1:20" x14ac:dyDescent="0.35">
      <c r="A105" s="860"/>
      <c r="B105" s="1039"/>
      <c r="C105" s="1040"/>
      <c r="D105" s="1041"/>
      <c r="E105" s="1042"/>
      <c r="F105" s="1043"/>
      <c r="G105" s="1051"/>
      <c r="H105" s="1047"/>
      <c r="I105" s="959"/>
      <c r="J105" s="959"/>
      <c r="K105" s="1056"/>
      <c r="L105" s="989"/>
      <c r="M105" s="989"/>
      <c r="N105" s="989"/>
      <c r="O105" s="989"/>
      <c r="P105" s="989"/>
      <c r="Q105" s="989"/>
      <c r="R105" s="989"/>
      <c r="S105" s="989"/>
      <c r="T105" s="989"/>
    </row>
    <row r="106" spans="1:20" ht="15" thickBot="1" x14ac:dyDescent="0.4">
      <c r="A106" s="860"/>
      <c r="B106" s="1039"/>
      <c r="C106" s="1040"/>
      <c r="D106" s="1041" t="s">
        <v>2272</v>
      </c>
      <c r="E106" s="1044"/>
      <c r="F106" s="964"/>
      <c r="G106" s="1052"/>
      <c r="H106" s="1048"/>
      <c r="I106" s="984"/>
      <c r="J106" s="984"/>
      <c r="K106" s="1057"/>
      <c r="L106" s="989"/>
      <c r="M106" s="989"/>
      <c r="N106" s="989"/>
      <c r="O106" s="989"/>
      <c r="P106" s="989"/>
      <c r="Q106" s="989"/>
      <c r="R106" s="989"/>
      <c r="S106" s="989"/>
      <c r="T106" s="989"/>
    </row>
    <row r="107" spans="1:20" ht="15" thickBot="1" x14ac:dyDescent="0.4">
      <c r="A107" s="860"/>
      <c r="B107" s="968"/>
      <c r="C107" s="969"/>
      <c r="D107" s="981"/>
      <c r="E107" s="1054">
        <f>SUM(E103:E106)</f>
        <v>0</v>
      </c>
      <c r="F107" s="1053"/>
      <c r="G107" s="969"/>
      <c r="H107" s="1049"/>
      <c r="I107" s="981"/>
      <c r="J107" s="969"/>
      <c r="K107" s="1058"/>
      <c r="L107" s="989"/>
      <c r="M107" s="989"/>
      <c r="N107" s="989"/>
      <c r="O107" s="989"/>
      <c r="P107" s="989"/>
      <c r="Q107" s="989"/>
      <c r="R107" s="989"/>
      <c r="S107" s="989"/>
      <c r="T107" s="989"/>
    </row>
    <row r="108" spans="1:20" x14ac:dyDescent="0.35">
      <c r="A108" s="860"/>
      <c r="B108" s="978"/>
      <c r="C108" s="860"/>
      <c r="D108" s="860"/>
      <c r="E108" s="860"/>
      <c r="F108" s="860"/>
      <c r="G108" s="860"/>
      <c r="H108" s="860"/>
      <c r="I108" s="860"/>
      <c r="J108" s="860"/>
      <c r="K108" s="860"/>
      <c r="L108" s="989"/>
      <c r="M108" s="989"/>
      <c r="N108" s="989"/>
      <c r="O108" s="989"/>
      <c r="P108" s="989"/>
      <c r="Q108" s="989"/>
      <c r="R108" s="989"/>
      <c r="S108" s="989"/>
      <c r="T108" s="989"/>
    </row>
    <row r="109" spans="1:20" ht="15" thickBot="1" x14ac:dyDescent="0.4">
      <c r="A109" s="860"/>
      <c r="B109" s="998" t="s">
        <v>2232</v>
      </c>
      <c r="C109" s="860"/>
      <c r="D109" s="860"/>
      <c r="E109" s="860"/>
      <c r="F109" s="860"/>
      <c r="G109" s="860"/>
      <c r="H109" s="860"/>
      <c r="I109" s="860"/>
      <c r="J109" s="860"/>
      <c r="K109" s="860"/>
      <c r="L109" s="989"/>
      <c r="M109" s="989"/>
      <c r="N109" s="989"/>
      <c r="O109" s="989"/>
      <c r="P109" s="989"/>
      <c r="Q109" s="989"/>
      <c r="R109" s="989"/>
      <c r="S109" s="989"/>
      <c r="T109" s="989"/>
    </row>
    <row r="110" spans="1:20" x14ac:dyDescent="0.35">
      <c r="A110" s="860"/>
      <c r="B110" s="2169"/>
      <c r="C110" s="2170"/>
      <c r="D110" s="2170"/>
      <c r="E110" s="2170"/>
      <c r="F110" s="2170"/>
      <c r="G110" s="2170"/>
      <c r="H110" s="2170"/>
      <c r="I110" s="2170"/>
      <c r="J110" s="2170"/>
      <c r="K110" s="2171"/>
      <c r="L110" s="989"/>
      <c r="M110" s="989"/>
      <c r="N110" s="989"/>
      <c r="O110" s="989"/>
      <c r="P110" s="989"/>
      <c r="Q110" s="989"/>
      <c r="R110" s="989"/>
      <c r="S110" s="989"/>
      <c r="T110" s="989"/>
    </row>
    <row r="111" spans="1:20" x14ac:dyDescent="0.35">
      <c r="A111" s="860"/>
      <c r="B111" s="2172"/>
      <c r="C111" s="2173"/>
      <c r="D111" s="2173"/>
      <c r="E111" s="2173"/>
      <c r="F111" s="2173"/>
      <c r="G111" s="2173"/>
      <c r="H111" s="2173"/>
      <c r="I111" s="2173"/>
      <c r="J111" s="2173"/>
      <c r="K111" s="2174"/>
      <c r="L111" s="989"/>
      <c r="M111" s="989"/>
      <c r="N111" s="989"/>
      <c r="O111" s="989"/>
      <c r="P111" s="989"/>
      <c r="Q111" s="989"/>
      <c r="R111" s="989"/>
      <c r="S111" s="989"/>
      <c r="T111" s="989"/>
    </row>
    <row r="112" spans="1:20" x14ac:dyDescent="0.35">
      <c r="A112" s="860"/>
      <c r="B112" s="2172"/>
      <c r="C112" s="2173"/>
      <c r="D112" s="2173"/>
      <c r="E112" s="2173"/>
      <c r="F112" s="2173"/>
      <c r="G112" s="2173"/>
      <c r="H112" s="2173"/>
      <c r="I112" s="2173"/>
      <c r="J112" s="2173"/>
      <c r="K112" s="2174"/>
      <c r="L112" s="989"/>
      <c r="M112" s="989"/>
      <c r="N112" s="989"/>
      <c r="O112" s="989"/>
      <c r="P112" s="989"/>
      <c r="Q112" s="989"/>
      <c r="R112" s="989"/>
      <c r="S112" s="989"/>
      <c r="T112" s="989"/>
    </row>
    <row r="113" spans="1:20" ht="15" thickBot="1" x14ac:dyDescent="0.4">
      <c r="A113" s="860"/>
      <c r="B113" s="2166"/>
      <c r="C113" s="2167"/>
      <c r="D113" s="2167"/>
      <c r="E113" s="2167"/>
      <c r="F113" s="2167"/>
      <c r="G113" s="2167"/>
      <c r="H113" s="2167"/>
      <c r="I113" s="2167"/>
      <c r="J113" s="2167"/>
      <c r="K113" s="2168"/>
      <c r="L113" s="989"/>
      <c r="M113" s="989"/>
      <c r="N113" s="989"/>
      <c r="O113" s="989"/>
      <c r="P113" s="989"/>
      <c r="Q113" s="989"/>
      <c r="R113" s="989"/>
      <c r="S113" s="989"/>
      <c r="T113" s="989"/>
    </row>
    <row r="114" spans="1:20" x14ac:dyDescent="0.35">
      <c r="A114" s="860"/>
      <c r="B114" s="978"/>
      <c r="C114" s="860"/>
      <c r="D114" s="860"/>
      <c r="E114" s="860"/>
      <c r="F114" s="860"/>
      <c r="G114" s="860"/>
      <c r="H114" s="860"/>
      <c r="I114" s="860"/>
      <c r="J114" s="860"/>
      <c r="K114" s="860"/>
      <c r="L114" s="989"/>
      <c r="M114" s="989"/>
      <c r="N114" s="989"/>
      <c r="O114" s="989"/>
      <c r="P114" s="989"/>
      <c r="Q114" s="989"/>
      <c r="R114" s="989"/>
      <c r="S114" s="989"/>
      <c r="T114" s="989"/>
    </row>
    <row r="115" spans="1:20" x14ac:dyDescent="0.35">
      <c r="A115" s="860"/>
      <c r="B115" s="978"/>
      <c r="C115" s="860"/>
      <c r="D115" s="860"/>
      <c r="E115" s="860"/>
      <c r="F115" s="860"/>
      <c r="G115" s="860"/>
      <c r="H115" s="860"/>
      <c r="I115" s="860"/>
      <c r="J115" s="860"/>
      <c r="K115" s="860"/>
      <c r="L115" s="989"/>
      <c r="M115" s="989"/>
      <c r="N115" s="989"/>
      <c r="O115" s="989"/>
      <c r="P115" s="989"/>
      <c r="Q115" s="989"/>
      <c r="R115" s="989"/>
      <c r="S115" s="989"/>
      <c r="T115" s="989"/>
    </row>
    <row r="116" spans="1:20" x14ac:dyDescent="0.35">
      <c r="A116" s="860"/>
      <c r="B116" s="978"/>
      <c r="C116" s="860"/>
      <c r="D116" s="860"/>
      <c r="E116" s="860"/>
      <c r="F116" s="860"/>
      <c r="G116" s="860"/>
      <c r="H116" s="860"/>
      <c r="I116" s="860"/>
      <c r="J116" s="860"/>
      <c r="K116" s="860"/>
      <c r="L116" s="989"/>
      <c r="M116" s="989"/>
      <c r="N116" s="989"/>
      <c r="O116" s="989"/>
      <c r="P116" s="989"/>
      <c r="Q116" s="989"/>
      <c r="R116" s="989"/>
      <c r="S116" s="989"/>
      <c r="T116" s="989"/>
    </row>
    <row r="117" spans="1:20" x14ac:dyDescent="0.35">
      <c r="A117" s="860"/>
      <c r="B117" s="978"/>
      <c r="C117" s="860"/>
      <c r="D117" s="860"/>
      <c r="E117" s="860"/>
      <c r="F117" s="860"/>
      <c r="G117" s="860"/>
      <c r="H117" s="860"/>
      <c r="I117" s="860"/>
      <c r="J117" s="860"/>
      <c r="K117" s="860"/>
      <c r="L117" s="989"/>
      <c r="M117" s="989"/>
      <c r="N117" s="989"/>
      <c r="O117" s="989"/>
      <c r="P117" s="989"/>
      <c r="Q117" s="989"/>
      <c r="R117" s="989"/>
      <c r="S117" s="989"/>
      <c r="T117" s="989"/>
    </row>
    <row r="118" spans="1:20" ht="15" thickBot="1" x14ac:dyDescent="0.4">
      <c r="A118" s="860"/>
      <c r="B118" s="860"/>
      <c r="C118" s="860"/>
      <c r="D118" s="860"/>
      <c r="E118" s="860"/>
      <c r="F118" s="860"/>
      <c r="G118" s="860"/>
      <c r="H118" s="860"/>
      <c r="I118" s="860"/>
      <c r="J118" s="860"/>
      <c r="K118" s="860"/>
      <c r="L118" s="989"/>
      <c r="M118" s="989"/>
      <c r="N118" s="989"/>
      <c r="O118" s="989"/>
      <c r="P118" s="989"/>
      <c r="Q118" s="989"/>
      <c r="R118" s="989"/>
      <c r="S118" s="989"/>
      <c r="T118" s="989"/>
    </row>
    <row r="119" spans="1:20" ht="15" thickBot="1" x14ac:dyDescent="0.4">
      <c r="A119" s="860"/>
      <c r="B119" s="2163" t="s">
        <v>2273</v>
      </c>
      <c r="C119" s="2164"/>
      <c r="D119" s="2164"/>
      <c r="E119" s="2164"/>
      <c r="F119" s="2164"/>
      <c r="G119" s="2164"/>
      <c r="H119" s="2164"/>
      <c r="I119" s="2164"/>
      <c r="J119" s="2164"/>
      <c r="K119" s="2164"/>
      <c r="L119" s="2164"/>
      <c r="M119" s="2164"/>
      <c r="N119" s="2164"/>
      <c r="O119" s="2164"/>
      <c r="P119" s="2164"/>
      <c r="Q119" s="2164"/>
      <c r="R119" s="2164"/>
      <c r="S119" s="2164"/>
      <c r="T119" s="2165"/>
    </row>
    <row r="120" spans="1:20" x14ac:dyDescent="0.35">
      <c r="A120" s="988"/>
      <c r="B120" s="988"/>
      <c r="C120" s="988"/>
      <c r="D120" s="988"/>
      <c r="E120" s="988"/>
      <c r="F120" s="988"/>
      <c r="G120" s="988"/>
      <c r="H120" s="988"/>
      <c r="I120" s="988"/>
      <c r="J120" s="988"/>
      <c r="K120" s="988"/>
      <c r="L120" s="989"/>
      <c r="M120" s="989"/>
      <c r="N120" s="989"/>
      <c r="O120" s="989"/>
      <c r="P120" s="989"/>
      <c r="Q120" s="989"/>
      <c r="R120" s="989"/>
      <c r="S120" s="989"/>
      <c r="T120" s="989"/>
    </row>
    <row r="121" spans="1:20" x14ac:dyDescent="0.35">
      <c r="A121" s="989"/>
      <c r="B121" s="990" t="s">
        <v>2244</v>
      </c>
      <c r="C121" s="989"/>
      <c r="D121" s="989"/>
      <c r="E121" s="989"/>
      <c r="F121" s="989"/>
      <c r="G121" s="989"/>
      <c r="H121" s="989"/>
      <c r="I121" s="989"/>
      <c r="J121" s="989"/>
      <c r="K121" s="989"/>
      <c r="L121" s="989"/>
      <c r="M121" s="989"/>
      <c r="N121" s="989"/>
      <c r="O121" s="989"/>
      <c r="P121" s="989"/>
      <c r="Q121" s="989"/>
      <c r="R121" s="989"/>
      <c r="S121" s="989"/>
      <c r="T121" s="989"/>
    </row>
    <row r="122" spans="1:20" x14ac:dyDescent="0.35">
      <c r="A122" s="989"/>
      <c r="B122" s="989"/>
      <c r="C122" s="989"/>
      <c r="D122" s="989"/>
      <c r="E122" s="989"/>
      <c r="F122" s="989"/>
      <c r="G122" s="989"/>
      <c r="H122" s="989"/>
      <c r="I122" s="989"/>
      <c r="J122" s="989"/>
      <c r="K122" s="989"/>
      <c r="L122" s="989"/>
      <c r="M122" s="989"/>
      <c r="N122" s="989"/>
      <c r="O122" s="989"/>
      <c r="P122" s="989"/>
      <c r="Q122" s="989"/>
      <c r="R122" s="989"/>
      <c r="S122" s="989"/>
      <c r="T122" s="989"/>
    </row>
    <row r="123" spans="1:20" ht="15" thickBot="1" x14ac:dyDescent="0.4">
      <c r="A123" s="989"/>
      <c r="B123" s="989"/>
      <c r="C123" s="989"/>
      <c r="D123" s="989"/>
      <c r="E123" s="989"/>
      <c r="F123" s="989"/>
      <c r="G123" s="989"/>
      <c r="H123" s="989"/>
      <c r="I123" s="989"/>
      <c r="J123" s="989"/>
      <c r="K123" s="989"/>
      <c r="L123" s="989"/>
      <c r="M123" s="989"/>
      <c r="N123" s="989"/>
      <c r="O123" s="989"/>
      <c r="P123" s="989"/>
      <c r="Q123" s="989"/>
      <c r="R123" s="989"/>
      <c r="S123" s="989"/>
      <c r="T123" s="989"/>
    </row>
    <row r="124" spans="1:20" ht="15" thickBot="1" x14ac:dyDescent="0.4">
      <c r="A124" s="989"/>
      <c r="B124" s="989"/>
      <c r="C124" s="2202" t="s">
        <v>2245</v>
      </c>
      <c r="D124" s="2203"/>
      <c r="E124" s="2204" t="s">
        <v>2246</v>
      </c>
      <c r="F124" s="2205"/>
      <c r="G124" s="2205"/>
      <c r="H124" s="2205"/>
      <c r="I124" s="2206"/>
      <c r="J124" s="989"/>
      <c r="K124" s="989"/>
      <c r="L124" s="989"/>
      <c r="M124" s="989"/>
      <c r="N124" s="989"/>
      <c r="O124" s="989"/>
      <c r="P124" s="989"/>
      <c r="Q124" s="989"/>
      <c r="R124" s="989"/>
      <c r="S124" s="989"/>
      <c r="T124" s="989"/>
    </row>
    <row r="125" spans="1:20" ht="23.5" thickBot="1" x14ac:dyDescent="0.4">
      <c r="A125" s="989"/>
      <c r="B125" s="1088" t="s">
        <v>2067</v>
      </c>
      <c r="C125" s="999" t="s">
        <v>2068</v>
      </c>
      <c r="D125" s="1081" t="s">
        <v>2069</v>
      </c>
      <c r="E125" s="1074" t="s">
        <v>2247</v>
      </c>
      <c r="F125" s="1000" t="s">
        <v>2226</v>
      </c>
      <c r="G125" s="1025" t="s">
        <v>2069</v>
      </c>
      <c r="H125" s="1000" t="s">
        <v>2248</v>
      </c>
      <c r="I125" s="1081" t="s">
        <v>2249</v>
      </c>
      <c r="J125" s="1081" t="s">
        <v>2250</v>
      </c>
      <c r="K125" s="989"/>
      <c r="L125" s="989"/>
      <c r="M125" s="989"/>
      <c r="N125" s="989"/>
      <c r="O125" s="989"/>
      <c r="P125" s="989"/>
      <c r="Q125" s="989"/>
      <c r="R125" s="989"/>
      <c r="S125" s="989"/>
      <c r="T125" s="989"/>
    </row>
    <row r="126" spans="1:20" ht="38.25" customHeight="1" x14ac:dyDescent="0.35">
      <c r="A126" s="989"/>
      <c r="B126" s="1089" t="str">
        <f>+IF(Anagrafica!$G$2="Capo II","Opere murarie e assimilate","Acquisto immobile sede dell'attività")</f>
        <v>Acquisto immobile sede dell'attività</v>
      </c>
      <c r="C126" s="1101">
        <f ca="1">+Anagrafica!$I$30</f>
        <v>0</v>
      </c>
      <c r="D126" s="1102">
        <f ca="1">+Anagrafica!$J$30</f>
        <v>0</v>
      </c>
      <c r="E126" s="1098" t="e" cm="1">
        <f t="array" aca="1" ref="E126" ca="1">+SUMIF(Categoriesal2,B126,Imponibilesal2)</f>
        <v>#REF!</v>
      </c>
      <c r="F126" s="1009" t="e" cm="1">
        <f t="array" aca="1" ref="F126" ca="1">+SUMIF(Categoriesal2,B126,Realizzatosal2)</f>
        <v>#REF!</v>
      </c>
      <c r="G126" s="1009" t="e" cm="1">
        <f t="array" aca="1" ref="G126" ca="1">+SUMIF(Categoriesal2,B126,Ammessosal2)</f>
        <v>#REF!</v>
      </c>
      <c r="H126" s="1009" t="str">
        <f ca="1">IFERROR(+G126*Anagrafica!$F$38,"")</f>
        <v/>
      </c>
      <c r="I126" s="1015">
        <v>0</v>
      </c>
      <c r="J126" s="1107" t="e">
        <f ca="1">+IF(C126-F126-'1 SAL'!$F$110&lt;0,0,C126-F126-'1 SAL'!$F$110)</f>
        <v>#REF!</v>
      </c>
      <c r="K126" s="989"/>
      <c r="L126" s="1018"/>
      <c r="M126" s="989"/>
      <c r="N126" s="989"/>
      <c r="O126" s="989"/>
      <c r="P126" s="989"/>
      <c r="Q126" s="989"/>
      <c r="S126" s="989"/>
      <c r="T126" s="989"/>
    </row>
    <row r="127" spans="1:20" ht="41.25" customHeight="1" x14ac:dyDescent="0.35">
      <c r="A127" s="989"/>
      <c r="B127" s="1090" t="str">
        <f>+IF(Anagrafica!$G$2="Capo II","Macchinari, impianti ed attrezzature","Opere murarie e assimilate")</f>
        <v>Opere murarie e assimilate</v>
      </c>
      <c r="C127" s="1103">
        <f ca="1">+Anagrafica!$I$31</f>
        <v>0</v>
      </c>
      <c r="D127" s="1016">
        <f>+Anagrafica!$J$31</f>
        <v>0</v>
      </c>
      <c r="E127" s="1098" t="e" cm="1">
        <f t="array" aca="1" ref="E127" ca="1">+SUMIF(Categoriesal2,B127,Imponibilesal2)</f>
        <v>#REF!</v>
      </c>
      <c r="F127" s="1010" t="e" cm="1">
        <f t="array" aca="1" ref="F127" ca="1">+SUMIF(Categoriesal2,B127,Realizzatosal2)</f>
        <v>#REF!</v>
      </c>
      <c r="G127" s="1010" t="e" cm="1">
        <f t="array" aca="1" ref="G127" ca="1">+SUMIF(Categoriesal2,B127,Ammessosal2)</f>
        <v>#REF!</v>
      </c>
      <c r="H127" s="1010" t="e">
        <f ca="1">+IF(Anagrafica!$G$2="Capo II",(G127*Anagrafica!$F$38-I127),G127*Anagrafica!$F$38)</f>
        <v>#REF!</v>
      </c>
      <c r="I127" s="1016">
        <f ca="1">+IFERROR((G127/'Calcolo contributo CAPO II'!$C$23)*Anagrafica!$C$37,0)</f>
        <v>0</v>
      </c>
      <c r="J127" s="1107" t="e">
        <f ca="1">+IF(C127-F127-'1 SAL'!$F$111&lt;0,0,C127-F127-'1 SAL'!$F$111)</f>
        <v>#REF!</v>
      </c>
      <c r="K127" s="1018"/>
      <c r="L127" s="1019"/>
      <c r="M127" s="989"/>
      <c r="N127" s="989"/>
      <c r="O127" s="989"/>
      <c r="P127" s="989"/>
      <c r="Q127" s="989"/>
      <c r="R127" s="989"/>
      <c r="S127" s="989"/>
      <c r="T127" s="989"/>
    </row>
    <row r="128" spans="1:20" ht="70.5" customHeight="1" x14ac:dyDescent="0.35">
      <c r="A128" s="989"/>
      <c r="B128" s="1091" t="str">
        <f>+IF(Anagrafica!$G$2="Capo II","Programmi informatici e servizi per le tecnologie dell’informazione e della comunicazione","Macchinari, impianti ed attrezzature")</f>
        <v>Macchinari, impianti ed attrezzature</v>
      </c>
      <c r="C128" s="1103">
        <f ca="1">+Anagrafica!$I$32</f>
        <v>10000</v>
      </c>
      <c r="D128" s="1016">
        <f>+Anagrafica!$J$32</f>
        <v>0</v>
      </c>
      <c r="E128" s="1098" t="e" cm="1">
        <f t="array" aca="1" ref="E128" ca="1">+SUMIF(Categoriesal2,B128,Imponibilesal2)</f>
        <v>#REF!</v>
      </c>
      <c r="F128" s="1010" t="e" cm="1">
        <f t="array" aca="1" ref="F128" ca="1">+SUMIF(Categoriesal2,B128,Realizzatosal2)</f>
        <v>#REF!</v>
      </c>
      <c r="G128" s="1010" t="e" cm="1">
        <f t="array" aca="1" ref="G128" ca="1">+SUMIF(Categoriesal2,B128,Ammessosal2)</f>
        <v>#REF!</v>
      </c>
      <c r="H128" s="1010" t="e">
        <f ca="1">+(G128*Anagrafica!$F$38-I128)</f>
        <v>#REF!</v>
      </c>
      <c r="I128" s="1016" t="e">
        <f ca="1">IF(Anagrafica!$G$2="Capo II",(G128/'Calcolo contributo CAPO II'!$C$23)*Anagrafica!$C$37,G128/(GBER!$C$11+GBER!$C$13)*Anagrafica!$C$37)</f>
        <v>#REF!</v>
      </c>
      <c r="J128" s="1107" t="e">
        <f ca="1">+IF(C128-F128-'1 SAL'!$F$112&lt;0,0,C128-F128-'1 SAL'!$F$112)</f>
        <v>#REF!</v>
      </c>
      <c r="K128" s="1018"/>
      <c r="L128" s="1018"/>
      <c r="M128" s="1018"/>
      <c r="N128" s="1018"/>
      <c r="O128" s="989"/>
      <c r="P128" s="989"/>
      <c r="Q128" s="989"/>
      <c r="R128" s="1018"/>
      <c r="S128" s="989"/>
      <c r="T128" s="989"/>
    </row>
    <row r="129" spans="1:20" ht="45.75" customHeight="1" x14ac:dyDescent="0.35">
      <c r="A129" s="989"/>
      <c r="B129" s="1091" t="str">
        <f>+IF(Anagrafica!$G$2="Capo II","Acquisto di brevetti o acquisizione di relative licenze d’uso","Programmi informatici, brevetti, licenze e marchi")</f>
        <v>Programmi informatici, brevetti, licenze e marchi</v>
      </c>
      <c r="C129" s="1103">
        <f ca="1">+Anagrafica!$I$33</f>
        <v>0</v>
      </c>
      <c r="D129" s="1016">
        <f ca="1">+Anagrafica!$J$33</f>
        <v>0</v>
      </c>
      <c r="E129" s="1098" t="e" cm="1">
        <f t="array" aca="1" ref="E129" ca="1">+SUMIF(Categoriesal2,B129,Imponibilesal2)</f>
        <v>#REF!</v>
      </c>
      <c r="F129" s="1010" t="e" cm="1">
        <f t="array" aca="1" ref="F129" ca="1">+SUMIF(Categoriesal2,B129,Realizzatosal2)</f>
        <v>#REF!</v>
      </c>
      <c r="G129" s="1010" t="e" cm="1">
        <f t="array" aca="1" ref="G129" ca="1">+SUMIF(Categoriesal2,B129,Ammessosal2)</f>
        <v>#REF!</v>
      </c>
      <c r="H129" s="1010" t="e">
        <f ca="1">+G129*Anagrafica!$F$38-I129</f>
        <v>#REF!</v>
      </c>
      <c r="I129" s="1016" t="e">
        <f ca="1">IF(Anagrafica!$G$2="Capo II",(G129/'Calcolo contributo CAPO II'!$C$23)*Anagrafica!$C$37,G129/(GBER!$C$11+GBER!$C$13)*Anagrafica!$C$37)</f>
        <v>#REF!</v>
      </c>
      <c r="J129" s="1107" t="e">
        <f ca="1">+IF(C129-F129-'1 SAL'!$F$113&lt;0,0,C129-F129-'1 SAL'!$F$113)</f>
        <v>#REF!</v>
      </c>
      <c r="K129" s="989"/>
      <c r="L129" s="1019"/>
      <c r="M129" s="1028"/>
      <c r="N129" s="989"/>
      <c r="O129" s="989"/>
      <c r="P129" s="989"/>
      <c r="Q129" s="989"/>
      <c r="R129" s="989"/>
      <c r="S129" s="989"/>
      <c r="T129" s="989"/>
    </row>
    <row r="130" spans="1:20" ht="39" customHeight="1" x14ac:dyDescent="0.35">
      <c r="A130" s="989"/>
      <c r="B130" s="1091" t="str">
        <f>+IF(Anagrafica!$G$2="Capo II","Consulenze specialistiche","TOTALE PROGRAMMA DI SPESA")</f>
        <v>TOTALE PROGRAMMA DI SPESA</v>
      </c>
      <c r="C130" s="1103">
        <f ca="1">+Anagrafica!$I$34</f>
        <v>10000</v>
      </c>
      <c r="D130" s="1016">
        <f ca="1">+Anagrafica!$J$34</f>
        <v>0</v>
      </c>
      <c r="E130" s="1098" t="e" cm="1">
        <f t="array" aca="1" ref="E130" ca="1">IF(Anagrafica!$G$2="Capo II",+SUMIF(Categoriesal2,B130,Imponibilesal2),SUM(E126:E129))</f>
        <v>#REF!</v>
      </c>
      <c r="F130" s="1010" t="e" cm="1">
        <f t="array" aca="1" ref="F130" ca="1">+IF(Anagrafica!$G$2="Capo II",+SUMIF(Categoriesal2,B130,Realizzatosal2),SUM(F126:F129))</f>
        <v>#REF!</v>
      </c>
      <c r="G130" s="1010" t="e" cm="1">
        <f t="array" aca="1" ref="G130" ca="1">IF(Anagrafica!$G$2="Capo II",+SUMIF(Categoriesal2,B130,Ammessosal2),SUM(G126:G129))</f>
        <v>#REF!</v>
      </c>
      <c r="H130" s="1010">
        <f ca="1">IFERROR(IF(Anagrafica!$G$2="Capo II",+G130*Anagrafica!$F$38,SUM(H126:H129)),0)</f>
        <v>0</v>
      </c>
      <c r="I130" s="1016">
        <f ca="1">IFERROR(IF(Anagrafica!$G$2="Capo II",0,SUM(I126:I129)),0)</f>
        <v>0</v>
      </c>
      <c r="J130" s="1107" t="e">
        <f ca="1">+IF(C130-F130-'1 SAL'!$F$114&lt;0,0,C130-F130-'1 SAL'!$F$114)</f>
        <v>#REF!</v>
      </c>
      <c r="K130" s="989"/>
      <c r="L130" s="1028"/>
      <c r="M130" s="989"/>
      <c r="N130" s="989"/>
      <c r="O130" s="1018"/>
      <c r="P130" s="989"/>
      <c r="Q130" s="989"/>
      <c r="R130" s="989"/>
      <c r="S130" s="989"/>
      <c r="T130" s="989"/>
    </row>
    <row r="131" spans="1:20" ht="44.25" customHeight="1" thickBot="1" x14ac:dyDescent="0.4">
      <c r="A131" s="989"/>
      <c r="B131" s="1092" t="str">
        <f>+IF(Anagrafica!$G$2="Capo II","Oneri notarili connessi alla stipula del contratto di finanziamento ed oneri connessi alla costituzione della società","")</f>
        <v/>
      </c>
      <c r="C131" s="1104" t="str">
        <f>+Anagrafica!$I$35</f>
        <v/>
      </c>
      <c r="D131" s="1027" t="str">
        <f>+Anagrafica!$J$35</f>
        <v/>
      </c>
      <c r="E131" s="1098" t="e" cm="1">
        <f t="array" aca="1" ref="E131" ca="1">+SUMIF(Categoriesal2,B131,Imponibilesal2)</f>
        <v>#REF!</v>
      </c>
      <c r="F131" s="1011" t="e" cm="1">
        <f t="array" aca="1" ref="F131" ca="1">+SUMIF(Categoriesal2,B131,Realizzatosal2)</f>
        <v>#REF!</v>
      </c>
      <c r="G131" s="1011" t="e" cm="1">
        <f t="array" aca="1" ref="G131" ca="1">+SUMIF(Categoriesal2,B131,Ammessosal2)</f>
        <v>#REF!</v>
      </c>
      <c r="H131" s="1009" t="str">
        <f ca="1">IFERROR(+G131*Anagrafica!$F$40,"")</f>
        <v/>
      </c>
      <c r="I131" s="1027">
        <v>0</v>
      </c>
      <c r="J131" s="1082" t="e">
        <f ca="1">+IF(C131-F131-'1 SAL'!$F$115&lt;0,0,C131-F131-'1 SAL'!$F$115)</f>
        <v>#VALUE!</v>
      </c>
      <c r="K131" s="989"/>
      <c r="L131" s="989"/>
      <c r="M131" s="989"/>
      <c r="N131" s="989"/>
      <c r="O131" s="989"/>
      <c r="P131" s="989"/>
      <c r="Q131" s="989"/>
      <c r="R131" s="989"/>
      <c r="S131" s="989"/>
      <c r="T131" s="989"/>
    </row>
    <row r="132" spans="1:20" ht="28.5" customHeight="1" thickBot="1" x14ac:dyDescent="0.4">
      <c r="A132" s="989"/>
      <c r="B132" s="1093" t="str">
        <f>+IF(Anagrafica!$G$2="Capo II","TOTALE INVESTIMENTO","")</f>
        <v/>
      </c>
      <c r="C132" s="1105" t="str">
        <f>+Anagrafica!$I$36</f>
        <v/>
      </c>
      <c r="D132" s="1106" t="str">
        <f>+Anagrafica!$J$36</f>
        <v/>
      </c>
      <c r="E132" s="1099" t="e">
        <f t="shared" ref="E132:G132" ca="1" si="0">+SUM(E126:E131)</f>
        <v>#REF!</v>
      </c>
      <c r="F132" s="1013" t="e">
        <f t="shared" ca="1" si="0"/>
        <v>#REF!</v>
      </c>
      <c r="G132" s="1013" t="e">
        <f t="shared" ca="1" si="0"/>
        <v>#REF!</v>
      </c>
      <c r="H132" s="1013" t="e">
        <f ca="1">+SUM(H126:H131)</f>
        <v>#REF!</v>
      </c>
      <c r="I132" s="1017" t="e">
        <f ca="1">+SUM(I126:I131)</f>
        <v>#REF!</v>
      </c>
      <c r="J132" s="1108" t="e">
        <f ca="1">+SUM(J126:J131)</f>
        <v>#REF!</v>
      </c>
      <c r="K132" s="989"/>
      <c r="L132" s="989"/>
      <c r="M132" s="989"/>
      <c r="N132" s="989"/>
      <c r="O132" s="989"/>
      <c r="P132" s="989"/>
      <c r="Q132" s="989"/>
      <c r="R132" s="989"/>
      <c r="S132" s="989"/>
      <c r="T132" s="989"/>
    </row>
    <row r="133" spans="1:20" ht="27.75" customHeight="1" thickBot="1" x14ac:dyDescent="0.4">
      <c r="A133" s="989"/>
      <c r="B133" s="1092" t="str">
        <f>+IF(Anagrafica!$G$2="Capo II","Capitale circolante","")</f>
        <v/>
      </c>
      <c r="C133" s="1104">
        <f>+Anagrafica!$C$31</f>
        <v>0</v>
      </c>
      <c r="D133" s="1027">
        <f>+Anagrafica!$C$31</f>
        <v>0</v>
      </c>
      <c r="E133" s="1012">
        <f>+$E$82</f>
        <v>0</v>
      </c>
      <c r="F133" s="1012">
        <f>+$E$83</f>
        <v>0</v>
      </c>
      <c r="G133" s="1012">
        <f>+$E$83</f>
        <v>0</v>
      </c>
      <c r="H133" s="1009">
        <f ca="1">IFERROR(G133*Anagrafica!$F$38,0)</f>
        <v>0</v>
      </c>
      <c r="I133" s="1015">
        <v>0</v>
      </c>
      <c r="J133" s="1109">
        <f>+IF(C133-F133-'1 SAL'!$F$117&lt;0,0,C133-F133-'1 SAL'!$F$117)</f>
        <v>0</v>
      </c>
      <c r="K133" s="989"/>
      <c r="L133" s="989"/>
      <c r="M133" s="989"/>
      <c r="N133" s="989"/>
      <c r="O133" s="989"/>
      <c r="P133" s="989"/>
      <c r="R133" s="989"/>
      <c r="S133" s="989"/>
      <c r="T133" s="989"/>
    </row>
    <row r="134" spans="1:20" ht="31.5" customHeight="1" thickBot="1" x14ac:dyDescent="0.4">
      <c r="A134" s="989"/>
      <c r="B134" s="1093" t="str">
        <f>+IF(Anagrafica!G2="Capo II","TOTALE PROGRAMMA DI SPESA","")</f>
        <v/>
      </c>
      <c r="C134" s="1013" t="str">
        <f>+Anagrafica!$I$38</f>
        <v/>
      </c>
      <c r="D134" s="1013" t="str">
        <f>+Anagrafica!$J$38</f>
        <v/>
      </c>
      <c r="E134" s="1013" t="e">
        <f ca="1">+E132+E133</f>
        <v>#REF!</v>
      </c>
      <c r="F134" s="1013" t="e">
        <f ca="1">+F132+F133</f>
        <v>#REF!</v>
      </c>
      <c r="G134" s="1013" t="e">
        <f ca="1">+G132+G133</f>
        <v>#REF!</v>
      </c>
      <c r="H134" s="1013" t="e">
        <f ca="1">+H133+H132</f>
        <v>#REF!</v>
      </c>
      <c r="I134" s="1017" t="e">
        <f ca="1">+I132</f>
        <v>#REF!</v>
      </c>
      <c r="J134" s="1108" t="e">
        <f ca="1">+J133+J132</f>
        <v>#REF!</v>
      </c>
      <c r="K134" s="989"/>
      <c r="L134" s="989"/>
      <c r="M134" s="989"/>
      <c r="N134" s="989"/>
      <c r="O134" s="989"/>
      <c r="P134" s="989"/>
      <c r="Q134" s="989"/>
      <c r="R134" s="989"/>
      <c r="S134" s="989"/>
      <c r="T134" s="989"/>
    </row>
    <row r="135" spans="1:20" x14ac:dyDescent="0.35">
      <c r="A135" s="989"/>
      <c r="B135" s="989"/>
      <c r="C135" s="989"/>
      <c r="D135" s="989"/>
      <c r="E135" s="989"/>
      <c r="F135" s="989"/>
      <c r="G135" s="989"/>
      <c r="H135" s="989"/>
      <c r="I135" s="989"/>
      <c r="J135" s="989"/>
      <c r="K135" s="989"/>
      <c r="L135" s="989"/>
      <c r="M135" s="989"/>
      <c r="N135" s="989"/>
      <c r="O135" s="989"/>
      <c r="P135" s="989"/>
      <c r="Q135" s="989"/>
      <c r="R135" s="989"/>
      <c r="S135" s="989"/>
      <c r="T135" s="989"/>
    </row>
    <row r="136" spans="1:20" ht="15" thickBot="1" x14ac:dyDescent="0.4">
      <c r="A136" s="989"/>
      <c r="B136" s="989"/>
      <c r="C136" s="989"/>
      <c r="D136" s="989"/>
      <c r="E136" s="989"/>
      <c r="F136" s="989"/>
      <c r="G136" s="989"/>
      <c r="H136" s="989"/>
      <c r="I136" s="989"/>
      <c r="J136" s="989"/>
      <c r="K136" s="989"/>
      <c r="L136" s="989"/>
      <c r="M136" s="989"/>
      <c r="N136" s="989"/>
      <c r="O136" s="989"/>
      <c r="P136" s="989"/>
      <c r="Q136" s="989"/>
      <c r="R136" s="989"/>
      <c r="S136" s="989"/>
      <c r="T136" s="989"/>
    </row>
    <row r="137" spans="1:20" ht="15" thickBot="1" x14ac:dyDescent="0.4">
      <c r="A137" s="989"/>
      <c r="B137" s="2232" t="s">
        <v>2163</v>
      </c>
      <c r="C137" s="2233"/>
      <c r="D137" s="2233"/>
      <c r="E137" s="2234"/>
      <c r="F137" s="1119"/>
      <c r="G137" s="989"/>
      <c r="H137" s="989"/>
      <c r="I137" s="989"/>
      <c r="J137" s="989"/>
      <c r="K137" s="989"/>
      <c r="L137" s="989"/>
      <c r="M137" s="989"/>
      <c r="N137" s="989"/>
      <c r="O137" s="989"/>
      <c r="P137" s="989"/>
      <c r="Q137" s="989"/>
      <c r="R137" s="989"/>
      <c r="S137" s="989"/>
      <c r="T137" s="989"/>
    </row>
    <row r="138" spans="1:20" x14ac:dyDescent="0.35">
      <c r="A138" s="989"/>
      <c r="B138" s="2209" t="s">
        <v>2251</v>
      </c>
      <c r="C138" s="2209"/>
      <c r="D138" s="2209"/>
      <c r="E138" s="2209"/>
      <c r="F138" s="1114" t="e">
        <f ca="1">+IF(Anagrafica!$G$2="Capo II",E134,E130)</f>
        <v>#REF!</v>
      </c>
      <c r="G138" s="989"/>
      <c r="H138" s="989"/>
      <c r="I138" s="989"/>
      <c r="J138" s="989"/>
      <c r="K138" s="989"/>
      <c r="L138" s="989"/>
      <c r="M138" s="989"/>
      <c r="N138" s="989"/>
      <c r="O138" s="989"/>
      <c r="P138" s="989"/>
      <c r="Q138" s="989"/>
      <c r="R138" s="989"/>
      <c r="S138" s="989"/>
      <c r="T138" s="989"/>
    </row>
    <row r="139" spans="1:20" x14ac:dyDescent="0.35">
      <c r="A139" s="989"/>
      <c r="B139" s="2208" t="s">
        <v>2252</v>
      </c>
      <c r="C139" s="2208"/>
      <c r="D139" s="2208"/>
      <c r="E139" s="2208"/>
      <c r="F139" s="1115" t="e">
        <f ca="1">+IF(Anagrafica!$G$2="Capo II",F134,F130)</f>
        <v>#REF!</v>
      </c>
      <c r="G139" s="989"/>
      <c r="H139" s="989"/>
      <c r="I139" s="989"/>
      <c r="J139" s="989"/>
      <c r="K139" s="989"/>
      <c r="L139" s="989"/>
      <c r="M139" s="989"/>
      <c r="N139" s="989"/>
      <c r="O139" s="989"/>
      <c r="P139" s="989"/>
      <c r="Q139" s="989"/>
      <c r="R139" s="989"/>
      <c r="S139" s="989"/>
      <c r="T139" s="989"/>
    </row>
    <row r="140" spans="1:20" x14ac:dyDescent="0.35">
      <c r="A140" s="989"/>
      <c r="B140" s="2208" t="s">
        <v>2253</v>
      </c>
      <c r="C140" s="2208"/>
      <c r="D140" s="2208"/>
      <c r="E140" s="2208"/>
      <c r="F140" s="1115" t="e">
        <f ca="1">+IF(Anagrafica!$G$2="Capo II",G134,G130)</f>
        <v>#REF!</v>
      </c>
      <c r="G140" s="989"/>
      <c r="H140" s="989"/>
      <c r="I140" s="989"/>
      <c r="J140" s="989"/>
      <c r="K140" s="989"/>
      <c r="L140" s="989"/>
      <c r="M140" s="989"/>
      <c r="N140" s="989"/>
      <c r="O140" s="989"/>
      <c r="P140" s="989"/>
      <c r="Q140" s="989"/>
      <c r="R140" s="989"/>
      <c r="S140" s="989"/>
      <c r="T140" s="989"/>
    </row>
    <row r="141" spans="1:20" x14ac:dyDescent="0.35">
      <c r="A141" s="989"/>
      <c r="B141" s="2208" t="s">
        <v>2274</v>
      </c>
      <c r="C141" s="2208"/>
      <c r="D141" s="2208"/>
      <c r="E141" s="2208"/>
      <c r="F141" s="1116">
        <f ca="1">+IF(Anagrafica!$G$2="Capo II",H134,H130)</f>
        <v>0</v>
      </c>
      <c r="G141" s="989"/>
      <c r="H141" s="989"/>
      <c r="I141" s="989"/>
      <c r="J141" s="989"/>
      <c r="K141" s="989"/>
      <c r="L141" s="989"/>
      <c r="M141" s="989"/>
      <c r="N141" s="989"/>
      <c r="O141" s="989"/>
      <c r="P141" s="989"/>
      <c r="Q141" s="989"/>
      <c r="R141" s="989"/>
      <c r="S141" s="989"/>
      <c r="T141" s="989"/>
    </row>
    <row r="142" spans="1:20" x14ac:dyDescent="0.35">
      <c r="A142" s="989"/>
      <c r="B142" s="2208" t="s">
        <v>2255</v>
      </c>
      <c r="C142" s="2208"/>
      <c r="D142" s="2208"/>
      <c r="E142" s="2208"/>
      <c r="F142" s="1116" t="e">
        <f ca="1">+Anticipo!F47*(F140/Anagrafica!C32)</f>
        <v>#REF!</v>
      </c>
      <c r="G142" s="989"/>
      <c r="H142" s="989"/>
      <c r="I142" s="989"/>
      <c r="J142" s="989"/>
      <c r="K142" s="989"/>
      <c r="L142" s="989"/>
      <c r="M142" s="989"/>
      <c r="N142" s="989"/>
      <c r="O142" s="989"/>
      <c r="P142" s="989"/>
      <c r="Q142" s="989"/>
      <c r="R142" s="989"/>
      <c r="S142" s="989"/>
      <c r="T142" s="989"/>
    </row>
    <row r="143" spans="1:20" x14ac:dyDescent="0.35">
      <c r="A143" s="989"/>
      <c r="B143" s="2235" t="s">
        <v>2275</v>
      </c>
      <c r="C143" s="2236"/>
      <c r="D143" s="2236"/>
      <c r="E143" s="2237"/>
      <c r="F143" s="1199">
        <f ca="1">++IFERROR(IF(+'2 SAL VNQ'!AL22-F142&lt;0,0,+'2 SAL VNQ'!AL22-F142),0)</f>
        <v>0</v>
      </c>
      <c r="G143" s="989"/>
      <c r="H143" s="989"/>
      <c r="I143" s="989"/>
      <c r="J143" s="989"/>
      <c r="K143" s="989"/>
      <c r="L143" s="989"/>
      <c r="M143" s="989"/>
      <c r="N143" s="989"/>
      <c r="O143" s="989"/>
      <c r="P143" s="989"/>
      <c r="Q143" s="989"/>
      <c r="R143" s="989"/>
      <c r="S143" s="989"/>
      <c r="T143" s="989"/>
    </row>
    <row r="144" spans="1:20" x14ac:dyDescent="0.35">
      <c r="A144" s="989"/>
      <c r="B144" s="2208" t="s">
        <v>2276</v>
      </c>
      <c r="C144" s="2208"/>
      <c r="D144" s="2208"/>
      <c r="E144" s="2235"/>
      <c r="F144" s="1116">
        <f ca="1">+IF(Anagrafica!$G$2="Capo II",I134,I130)</f>
        <v>0</v>
      </c>
      <c r="G144" s="989"/>
      <c r="H144" s="989"/>
      <c r="I144" s="989"/>
      <c r="J144" s="989"/>
      <c r="K144" s="989"/>
      <c r="L144" s="989"/>
      <c r="M144" s="989"/>
      <c r="N144" s="989"/>
      <c r="O144" s="989"/>
      <c r="P144" s="989"/>
      <c r="Q144" s="989"/>
      <c r="R144" s="989"/>
      <c r="S144" s="989"/>
      <c r="T144" s="989"/>
    </row>
    <row r="145" spans="1:23" ht="15" thickBot="1" x14ac:dyDescent="0.4">
      <c r="A145" s="989"/>
      <c r="B145" s="2208" t="s">
        <v>2277</v>
      </c>
      <c r="C145" s="2208"/>
      <c r="D145" s="2208"/>
      <c r="E145" s="2208"/>
      <c r="F145" s="1199">
        <f ca="1">IFERROR(IF(F140&lt;=0,0,'2 SAL VNQ'!AM22),0)</f>
        <v>0</v>
      </c>
      <c r="G145" s="989"/>
      <c r="H145" s="989"/>
      <c r="I145" s="989"/>
      <c r="J145" s="989"/>
      <c r="K145" s="989"/>
      <c r="L145" s="989"/>
      <c r="M145" s="989"/>
      <c r="N145" s="989"/>
      <c r="O145" s="989"/>
      <c r="P145" s="989"/>
      <c r="Q145" s="989"/>
      <c r="R145" s="989"/>
      <c r="S145" s="989"/>
      <c r="T145" s="989"/>
    </row>
    <row r="146" spans="1:23" ht="15" thickBot="1" x14ac:dyDescent="0.4">
      <c r="A146" s="989"/>
      <c r="B146" s="2231" t="s">
        <v>2278</v>
      </c>
      <c r="C146" s="2231"/>
      <c r="D146" s="2231"/>
      <c r="E146" s="2231"/>
      <c r="F146" s="1118">
        <f ca="1">+F145+F143</f>
        <v>0</v>
      </c>
      <c r="G146" s="989"/>
      <c r="H146" s="989"/>
      <c r="I146" s="989"/>
      <c r="J146" s="989"/>
      <c r="K146" s="989"/>
      <c r="L146" s="989"/>
      <c r="M146" s="989"/>
      <c r="N146" s="989"/>
      <c r="O146" s="989"/>
      <c r="P146" s="989"/>
      <c r="Q146" s="989"/>
      <c r="R146" s="989"/>
      <c r="S146" s="989"/>
      <c r="T146" s="989"/>
    </row>
    <row r="147" spans="1:23" ht="15" thickBot="1" x14ac:dyDescent="0.4">
      <c r="A147" s="989"/>
      <c r="B147" s="989"/>
      <c r="C147" s="989"/>
      <c r="D147" s="989"/>
      <c r="E147" s="989"/>
      <c r="F147" s="989"/>
      <c r="G147" s="989"/>
      <c r="H147" s="2161" t="s">
        <v>2165</v>
      </c>
      <c r="I147" s="2162"/>
      <c r="J147" s="1203"/>
      <c r="K147" s="989"/>
      <c r="L147" s="989"/>
      <c r="M147" s="989"/>
      <c r="N147" s="989"/>
      <c r="O147" s="989"/>
      <c r="P147" s="989"/>
      <c r="Q147" s="989"/>
      <c r="R147" s="989"/>
      <c r="S147" s="989"/>
      <c r="T147" s="989"/>
    </row>
    <row r="148" spans="1:23" ht="15" thickBot="1" x14ac:dyDescent="0.4">
      <c r="A148" s="989"/>
      <c r="B148" s="989"/>
      <c r="C148" s="989"/>
      <c r="D148" s="989"/>
      <c r="E148" s="989"/>
      <c r="F148" s="989"/>
      <c r="G148" s="989"/>
      <c r="H148" s="2161" t="s">
        <v>2166</v>
      </c>
      <c r="I148" s="2162"/>
      <c r="J148" s="1203"/>
      <c r="K148" s="989"/>
      <c r="L148" s="989"/>
      <c r="M148" s="989"/>
      <c r="N148" s="989"/>
      <c r="O148" s="989"/>
      <c r="P148" s="989"/>
      <c r="Q148" s="989"/>
      <c r="R148" s="989"/>
      <c r="S148" s="989"/>
      <c r="T148" s="989"/>
    </row>
    <row r="149" spans="1:23" ht="15" thickBot="1" x14ac:dyDescent="0.4">
      <c r="A149" s="989"/>
      <c r="B149" s="989"/>
      <c r="C149" s="989"/>
      <c r="D149" s="989"/>
      <c r="E149" s="989"/>
      <c r="F149" s="989"/>
      <c r="G149" s="989"/>
      <c r="H149" s="2194" t="s">
        <v>2167</v>
      </c>
      <c r="I149" s="2195"/>
      <c r="J149" s="1203"/>
      <c r="K149" s="989"/>
      <c r="L149" s="989"/>
      <c r="M149" s="989"/>
      <c r="N149" s="989"/>
      <c r="O149" s="989"/>
      <c r="P149" s="989"/>
      <c r="Q149" s="989"/>
      <c r="R149" s="989"/>
      <c r="S149" s="989"/>
      <c r="T149" s="989"/>
      <c r="V149" s="989"/>
      <c r="W149" s="989"/>
    </row>
    <row r="150" spans="1:23" x14ac:dyDescent="0.35">
      <c r="A150" s="989"/>
      <c r="B150" s="989"/>
      <c r="C150" s="989"/>
      <c r="D150" s="989"/>
      <c r="E150" s="989"/>
      <c r="F150" s="989"/>
      <c r="G150" s="989"/>
      <c r="H150" s="989"/>
      <c r="I150" s="989"/>
      <c r="J150" s="989"/>
      <c r="K150" s="989"/>
      <c r="L150" s="989"/>
      <c r="M150" s="989"/>
      <c r="N150" s="989"/>
      <c r="O150" s="989"/>
      <c r="P150" s="989"/>
      <c r="Q150" s="989"/>
      <c r="R150" s="989"/>
      <c r="S150" s="989"/>
      <c r="T150" s="989"/>
      <c r="V150" s="989"/>
      <c r="W150" s="989"/>
    </row>
    <row r="151" spans="1:23" x14ac:dyDescent="0.35">
      <c r="A151" s="989"/>
      <c r="B151" s="989"/>
      <c r="C151" s="989"/>
      <c r="D151" s="989"/>
      <c r="E151" s="989"/>
      <c r="F151" s="989"/>
      <c r="G151" s="989"/>
      <c r="H151" s="989"/>
      <c r="I151" s="989"/>
      <c r="J151" s="989"/>
      <c r="K151" s="989"/>
      <c r="L151" s="989"/>
      <c r="M151" s="989"/>
      <c r="N151" s="989"/>
      <c r="O151" s="989"/>
      <c r="P151" s="989"/>
      <c r="Q151" s="989"/>
      <c r="R151" s="989"/>
      <c r="S151" s="989"/>
      <c r="T151" s="989"/>
      <c r="V151" s="989"/>
      <c r="W151" s="989"/>
    </row>
    <row r="152" spans="1:23" x14ac:dyDescent="0.35">
      <c r="A152" s="989"/>
      <c r="B152" s="989"/>
      <c r="C152" s="989"/>
      <c r="D152" s="989"/>
      <c r="E152" s="989"/>
      <c r="F152" s="989"/>
      <c r="G152" s="989"/>
      <c r="H152" s="989"/>
      <c r="I152" s="989"/>
      <c r="J152" s="989"/>
      <c r="K152" s="989"/>
      <c r="L152" s="989"/>
      <c r="M152" s="989"/>
      <c r="N152" s="989"/>
      <c r="O152" s="989"/>
      <c r="P152" s="989"/>
      <c r="Q152" s="989"/>
      <c r="R152" s="989"/>
      <c r="S152" s="989"/>
      <c r="T152" s="989"/>
      <c r="V152" s="989"/>
      <c r="W152" s="989"/>
    </row>
    <row r="153" spans="1:23" x14ac:dyDescent="0.35">
      <c r="A153" s="989"/>
      <c r="B153" s="989"/>
      <c r="C153" s="989"/>
      <c r="D153" s="989"/>
      <c r="E153" s="989"/>
      <c r="F153" s="989"/>
      <c r="G153" s="989"/>
      <c r="H153" s="989"/>
      <c r="I153" s="989"/>
      <c r="J153" s="989"/>
      <c r="K153" s="989"/>
      <c r="L153" s="989"/>
      <c r="M153" s="989"/>
      <c r="N153" s="989"/>
      <c r="O153" s="989"/>
      <c r="P153" s="989"/>
      <c r="Q153" s="989"/>
      <c r="R153" s="989"/>
      <c r="S153" s="989"/>
      <c r="T153" s="989"/>
      <c r="V153" s="989"/>
      <c r="W153" s="989"/>
    </row>
    <row r="154" spans="1:23" ht="95.25" customHeight="1" x14ac:dyDescent="0.35">
      <c r="A154" s="989"/>
      <c r="B154" s="989"/>
      <c r="C154" s="989"/>
      <c r="D154" s="989"/>
      <c r="E154" s="989"/>
      <c r="F154" s="989"/>
      <c r="G154" s="989"/>
      <c r="H154" s="989"/>
      <c r="I154" s="989"/>
      <c r="J154" s="989"/>
      <c r="K154" s="989"/>
      <c r="L154" s="989"/>
      <c r="M154" s="989"/>
      <c r="N154" s="989"/>
      <c r="O154" s="989"/>
      <c r="P154" s="989"/>
      <c r="Q154" s="989"/>
      <c r="R154" s="989"/>
      <c r="S154" s="989"/>
      <c r="T154" s="989"/>
      <c r="V154" s="989"/>
      <c r="W154" s="989"/>
    </row>
    <row r="155" spans="1:23" x14ac:dyDescent="0.35">
      <c r="A155" s="989"/>
      <c r="B155" s="989"/>
      <c r="C155" s="989"/>
      <c r="D155" s="989"/>
      <c r="E155" s="989"/>
      <c r="F155" s="989"/>
      <c r="G155" s="989"/>
      <c r="H155" s="989"/>
      <c r="I155" s="989"/>
      <c r="J155" s="989"/>
      <c r="K155" s="989"/>
      <c r="L155" s="989"/>
      <c r="M155" s="989"/>
      <c r="N155" s="989"/>
      <c r="O155" s="989"/>
      <c r="P155" s="989"/>
      <c r="Q155" s="989"/>
      <c r="R155" s="989"/>
      <c r="S155" s="989"/>
      <c r="T155" s="989"/>
      <c r="V155" s="989"/>
      <c r="W155" s="989"/>
    </row>
    <row r="156" spans="1:23" x14ac:dyDescent="0.35">
      <c r="A156" s="989"/>
      <c r="B156" s="989"/>
      <c r="C156" s="989"/>
      <c r="D156" s="989"/>
      <c r="E156" s="989"/>
      <c r="F156" s="989"/>
      <c r="G156" s="989"/>
      <c r="H156" s="989"/>
      <c r="I156" s="989"/>
      <c r="J156" s="989"/>
      <c r="K156" s="989"/>
      <c r="L156" s="989"/>
      <c r="M156" s="989"/>
      <c r="N156" s="989"/>
      <c r="O156" s="989"/>
      <c r="P156" s="989"/>
      <c r="Q156" s="989"/>
      <c r="R156" s="989"/>
      <c r="S156" s="989"/>
      <c r="T156" s="989"/>
      <c r="V156" s="989"/>
      <c r="W156" s="989"/>
    </row>
    <row r="157" spans="1:23" x14ac:dyDescent="0.35">
      <c r="A157" s="989"/>
      <c r="B157" s="989"/>
      <c r="C157" s="989"/>
      <c r="D157" s="989"/>
      <c r="E157" s="989"/>
      <c r="F157" s="989"/>
      <c r="G157" s="989"/>
      <c r="H157" s="989"/>
      <c r="I157" s="989"/>
      <c r="J157" s="989"/>
      <c r="K157" s="989"/>
      <c r="L157" s="989"/>
      <c r="M157" s="989"/>
      <c r="N157" s="989"/>
      <c r="O157" s="989"/>
      <c r="P157" s="989"/>
      <c r="Q157" s="989"/>
      <c r="R157" s="989"/>
      <c r="S157" s="989"/>
      <c r="T157" s="989"/>
      <c r="V157" s="989"/>
      <c r="W157" s="989"/>
    </row>
    <row r="158" spans="1:23" x14ac:dyDescent="0.35">
      <c r="A158" s="989"/>
      <c r="B158" s="989"/>
      <c r="C158" s="989"/>
      <c r="D158" s="989"/>
      <c r="E158" s="989"/>
      <c r="F158" s="989"/>
      <c r="G158" s="989"/>
      <c r="H158" s="989"/>
      <c r="I158" s="989"/>
      <c r="J158" s="989"/>
      <c r="K158" s="989"/>
      <c r="L158" s="989"/>
      <c r="M158" s="989"/>
      <c r="N158" s="989"/>
      <c r="O158" s="989"/>
      <c r="P158" s="989"/>
      <c r="Q158" s="989"/>
      <c r="R158" s="989"/>
      <c r="S158" s="989"/>
      <c r="T158" s="989"/>
      <c r="V158" s="989"/>
      <c r="W158" s="989"/>
    </row>
    <row r="159" spans="1:23" x14ac:dyDescent="0.35">
      <c r="A159" s="989"/>
      <c r="B159" s="989"/>
      <c r="C159" s="989"/>
      <c r="D159" s="989"/>
      <c r="E159" s="989"/>
      <c r="F159" s="989"/>
      <c r="G159" s="989"/>
      <c r="H159" s="989"/>
      <c r="I159" s="989"/>
      <c r="J159" s="989"/>
      <c r="K159" s="989"/>
      <c r="L159" s="989"/>
      <c r="M159" s="989"/>
      <c r="N159" s="989"/>
      <c r="O159" s="989"/>
      <c r="P159" s="989"/>
      <c r="Q159" s="989"/>
      <c r="R159" s="989"/>
      <c r="S159" s="989"/>
      <c r="T159" s="989"/>
      <c r="V159" s="989"/>
      <c r="W159" s="989"/>
    </row>
    <row r="160" spans="1:23" x14ac:dyDescent="0.35">
      <c r="A160" s="989"/>
      <c r="B160" s="989"/>
      <c r="C160" s="989"/>
      <c r="D160" s="989"/>
      <c r="E160" s="989"/>
      <c r="F160" s="989"/>
      <c r="G160" s="989"/>
      <c r="H160" s="989"/>
      <c r="I160" s="989"/>
      <c r="J160" s="989"/>
      <c r="K160" s="989"/>
      <c r="L160" s="989"/>
      <c r="M160" s="989"/>
      <c r="N160" s="989"/>
      <c r="O160" s="989"/>
      <c r="P160" s="989"/>
      <c r="Q160" s="989"/>
      <c r="R160" s="989"/>
      <c r="S160" s="989"/>
      <c r="T160" s="989"/>
      <c r="V160" s="989"/>
      <c r="W160" s="989"/>
    </row>
    <row r="161" spans="1:23" x14ac:dyDescent="0.35">
      <c r="A161" s="989"/>
      <c r="B161" s="989"/>
      <c r="C161" s="989"/>
      <c r="D161" s="989"/>
      <c r="E161" s="989"/>
      <c r="F161" s="989"/>
      <c r="G161" s="989"/>
      <c r="H161" s="989"/>
      <c r="I161" s="989"/>
      <c r="J161" s="989"/>
      <c r="K161" s="989"/>
      <c r="L161" s="989"/>
      <c r="M161" s="989"/>
      <c r="N161" s="989"/>
      <c r="O161" s="989"/>
      <c r="P161" s="989"/>
      <c r="Q161" s="989"/>
      <c r="R161" s="989"/>
      <c r="S161" s="989"/>
      <c r="T161" s="989"/>
      <c r="V161" s="989"/>
      <c r="W161" s="989"/>
    </row>
    <row r="162" spans="1:23" x14ac:dyDescent="0.35">
      <c r="A162" s="989"/>
      <c r="B162" s="989"/>
      <c r="C162" s="989"/>
      <c r="D162" s="989"/>
      <c r="E162" s="989"/>
      <c r="F162" s="989"/>
      <c r="G162" s="989"/>
      <c r="H162" s="989"/>
      <c r="I162" s="989"/>
      <c r="J162" s="989"/>
      <c r="K162" s="989"/>
      <c r="L162" s="989"/>
      <c r="M162" s="989"/>
      <c r="N162" s="989"/>
      <c r="O162" s="989"/>
      <c r="P162" s="989"/>
      <c r="Q162" s="989"/>
      <c r="R162" s="989"/>
      <c r="S162" s="989"/>
      <c r="T162" s="989"/>
      <c r="V162" s="989"/>
      <c r="W162" s="989"/>
    </row>
    <row r="163" spans="1:23" x14ac:dyDescent="0.35">
      <c r="A163" s="989"/>
      <c r="B163" s="989"/>
      <c r="C163" s="989"/>
      <c r="D163" s="989"/>
      <c r="E163" s="989"/>
      <c r="F163" s="989"/>
      <c r="G163" s="989"/>
      <c r="H163" s="989"/>
      <c r="I163" s="989"/>
      <c r="J163" s="989"/>
      <c r="K163" s="989"/>
      <c r="L163" s="989"/>
      <c r="M163" s="989"/>
      <c r="N163" s="989"/>
      <c r="O163" s="989"/>
      <c r="P163" s="989"/>
      <c r="Q163" s="989"/>
      <c r="R163" s="989"/>
      <c r="S163" s="989"/>
      <c r="T163" s="989"/>
      <c r="V163" s="989"/>
      <c r="W163" s="989"/>
    </row>
    <row r="164" spans="1:23" x14ac:dyDescent="0.35">
      <c r="A164" s="989"/>
      <c r="B164" s="989"/>
      <c r="C164" s="989"/>
      <c r="D164" s="989"/>
      <c r="E164" s="989"/>
      <c r="F164" s="989"/>
      <c r="G164" s="989"/>
      <c r="H164" s="989"/>
      <c r="I164" s="989"/>
      <c r="J164" s="989"/>
      <c r="K164" s="989"/>
      <c r="L164" s="989"/>
      <c r="M164" s="989"/>
      <c r="N164" s="989"/>
      <c r="O164" s="989"/>
      <c r="P164" s="989"/>
      <c r="Q164" s="989"/>
      <c r="R164" s="989"/>
      <c r="S164" s="989"/>
      <c r="T164" s="989"/>
      <c r="V164" s="989"/>
      <c r="W164" s="989"/>
    </row>
    <row r="165" spans="1:23" s="989" customFormat="1" x14ac:dyDescent="0.35"/>
    <row r="166" spans="1:23" s="989" customFormat="1" x14ac:dyDescent="0.35"/>
    <row r="167" spans="1:23" s="989" customFormat="1" x14ac:dyDescent="0.35"/>
    <row r="168" spans="1:23" s="989" customFormat="1" x14ac:dyDescent="0.35"/>
    <row r="169" spans="1:23" s="989" customFormat="1" x14ac:dyDescent="0.35"/>
    <row r="170" spans="1:23" s="989" customFormat="1" x14ac:dyDescent="0.35"/>
    <row r="171" spans="1:23" s="989" customFormat="1" x14ac:dyDescent="0.35"/>
    <row r="172" spans="1:23" s="989" customFormat="1" x14ac:dyDescent="0.35"/>
    <row r="173" spans="1:23" s="989" customFormat="1" x14ac:dyDescent="0.35"/>
    <row r="174" spans="1:23" s="989" customFormat="1" x14ac:dyDescent="0.35"/>
    <row r="175" spans="1:23" s="989" customFormat="1" x14ac:dyDescent="0.35"/>
    <row r="176" spans="1:23" s="989" customFormat="1" x14ac:dyDescent="0.35"/>
    <row r="177" spans="2:23" s="989" customFormat="1" x14ac:dyDescent="0.35"/>
    <row r="178" spans="2:23" s="989" customFormat="1" x14ac:dyDescent="0.35"/>
    <row r="179" spans="2:23" s="989" customFormat="1" x14ac:dyDescent="0.35"/>
    <row r="180" spans="2:23" s="989" customFormat="1" x14ac:dyDescent="0.35"/>
    <row r="181" spans="2:23" x14ac:dyDescent="0.35">
      <c r="B181" s="989"/>
      <c r="C181" s="989"/>
      <c r="D181" s="989"/>
      <c r="E181" s="989"/>
      <c r="F181" s="989"/>
      <c r="G181" s="989"/>
      <c r="H181" s="989"/>
      <c r="I181" s="989"/>
      <c r="J181" s="989"/>
      <c r="K181" s="989"/>
      <c r="L181" s="989"/>
      <c r="M181" s="989"/>
      <c r="N181" s="989"/>
      <c r="O181" s="989"/>
      <c r="P181" s="989"/>
      <c r="Q181" s="989"/>
      <c r="R181" s="989"/>
      <c r="S181" s="989"/>
      <c r="T181" s="989"/>
      <c r="V181" s="989"/>
      <c r="W181" s="989"/>
    </row>
    <row r="182" spans="2:23" x14ac:dyDescent="0.35">
      <c r="B182" s="989"/>
      <c r="C182" s="989"/>
      <c r="D182" s="989"/>
      <c r="E182" s="989"/>
      <c r="F182" s="989"/>
      <c r="G182" s="989"/>
      <c r="H182" s="989"/>
      <c r="I182" s="989"/>
      <c r="J182" s="989"/>
      <c r="K182" s="989"/>
      <c r="L182" s="989"/>
      <c r="M182" s="989"/>
      <c r="N182" s="989"/>
      <c r="O182" s="989"/>
      <c r="P182" s="989"/>
      <c r="Q182" s="989"/>
      <c r="R182" s="989"/>
      <c r="S182" s="989"/>
      <c r="T182" s="989"/>
      <c r="V182" s="989"/>
      <c r="W182" s="989"/>
    </row>
  </sheetData>
  <mergeCells count="115">
    <mergeCell ref="J87:K87"/>
    <mergeCell ref="J88:K88"/>
    <mergeCell ref="J89:K89"/>
    <mergeCell ref="J90:K90"/>
    <mergeCell ref="J86:K86"/>
    <mergeCell ref="R68:S68"/>
    <mergeCell ref="R69:S69"/>
    <mergeCell ref="R70:S70"/>
    <mergeCell ref="R71:S71"/>
    <mergeCell ref="R72:S72"/>
    <mergeCell ref="E124:I124"/>
    <mergeCell ref="B146:E146"/>
    <mergeCell ref="B137:E137"/>
    <mergeCell ref="B138:E138"/>
    <mergeCell ref="B139:E139"/>
    <mergeCell ref="B140:E140"/>
    <mergeCell ref="B141:E141"/>
    <mergeCell ref="B142:E142"/>
    <mergeCell ref="B144:E144"/>
    <mergeCell ref="B145:E145"/>
    <mergeCell ref="B143:E143"/>
    <mergeCell ref="B94:K94"/>
    <mergeCell ref="B95:K95"/>
    <mergeCell ref="B96:K96"/>
    <mergeCell ref="B119:T119"/>
    <mergeCell ref="B100:T100"/>
    <mergeCell ref="B110:K110"/>
    <mergeCell ref="B111:K111"/>
    <mergeCell ref="B112:K112"/>
    <mergeCell ref="B113:K113"/>
    <mergeCell ref="B32:E32"/>
    <mergeCell ref="B31:I31"/>
    <mergeCell ref="B40:E40"/>
    <mergeCell ref="G45:I45"/>
    <mergeCell ref="B47:E47"/>
    <mergeCell ref="B27:B29"/>
    <mergeCell ref="G32:I32"/>
    <mergeCell ref="G33:I33"/>
    <mergeCell ref="B44:E44"/>
    <mergeCell ref="B45:E45"/>
    <mergeCell ref="G38:I38"/>
    <mergeCell ref="G36:I36"/>
    <mergeCell ref="G40:I40"/>
    <mergeCell ref="G41:I41"/>
    <mergeCell ref="G44:I44"/>
    <mergeCell ref="C15:K15"/>
    <mergeCell ref="B16:K16"/>
    <mergeCell ref="F20:K20"/>
    <mergeCell ref="B21:K21"/>
    <mergeCell ref="G37:I37"/>
    <mergeCell ref="G57:I57"/>
    <mergeCell ref="B33:E33"/>
    <mergeCell ref="B34:E34"/>
    <mergeCell ref="G34:I34"/>
    <mergeCell ref="B50:E50"/>
    <mergeCell ref="B51:E51"/>
    <mergeCell ref="G47:I47"/>
    <mergeCell ref="B46:I46"/>
    <mergeCell ref="B35:I35"/>
    <mergeCell ref="B36:E36"/>
    <mergeCell ref="G42:I42"/>
    <mergeCell ref="G43:I43"/>
    <mergeCell ref="B22:K22"/>
    <mergeCell ref="B23:K25"/>
    <mergeCell ref="B37:E37"/>
    <mergeCell ref="B38:E38"/>
    <mergeCell ref="B41:E41"/>
    <mergeCell ref="B42:E42"/>
    <mergeCell ref="B43:E43"/>
    <mergeCell ref="B2:K2"/>
    <mergeCell ref="C4:F4"/>
    <mergeCell ref="B6:G6"/>
    <mergeCell ref="H6:K6"/>
    <mergeCell ref="B8:K8"/>
    <mergeCell ref="B10:B11"/>
    <mergeCell ref="C10:K11"/>
    <mergeCell ref="C13:D13"/>
    <mergeCell ref="G13:K13"/>
    <mergeCell ref="B83:D83"/>
    <mergeCell ref="B49:E49"/>
    <mergeCell ref="G54:I54"/>
    <mergeCell ref="G55:I55"/>
    <mergeCell ref="B55:E55"/>
    <mergeCell ref="B54:E54"/>
    <mergeCell ref="B52:E52"/>
    <mergeCell ref="B53:E53"/>
    <mergeCell ref="G49:I49"/>
    <mergeCell ref="G50:I50"/>
    <mergeCell ref="G51:I51"/>
    <mergeCell ref="G52:I52"/>
    <mergeCell ref="G53:I53"/>
    <mergeCell ref="B93:K93"/>
    <mergeCell ref="B48:E48"/>
    <mergeCell ref="H147:I147"/>
    <mergeCell ref="H148:I148"/>
    <mergeCell ref="H149:I149"/>
    <mergeCell ref="B60:E60"/>
    <mergeCell ref="G56:I56"/>
    <mergeCell ref="G59:I59"/>
    <mergeCell ref="B56:E56"/>
    <mergeCell ref="B57:E57"/>
    <mergeCell ref="G61:I61"/>
    <mergeCell ref="B61:E61"/>
    <mergeCell ref="G58:I58"/>
    <mergeCell ref="G60:I60"/>
    <mergeCell ref="B58:E58"/>
    <mergeCell ref="B59:E59"/>
    <mergeCell ref="B82:D82"/>
    <mergeCell ref="B64:T64"/>
    <mergeCell ref="B75:S75"/>
    <mergeCell ref="B76:S76"/>
    <mergeCell ref="B77:S77"/>
    <mergeCell ref="B78:S78"/>
    <mergeCell ref="B79:S79"/>
    <mergeCell ref="C124:D124"/>
  </mergeCells>
  <conditionalFormatting sqref="F20">
    <cfRule type="expression" dxfId="85" priority="31">
      <formula>$E$20/$K$17&gt;20%</formula>
    </cfRule>
  </conditionalFormatting>
  <conditionalFormatting sqref="E107">
    <cfRule type="expression" dxfId="84" priority="22">
      <formula>IF(SUMIFS(Imponibilesal1,Quietanzasal1,"NO")&gt;$E$107,1,0)</formula>
    </cfRule>
  </conditionalFormatting>
  <dataValidations count="8">
    <dataValidation type="list" allowBlank="1" showInputMessage="1" showErrorMessage="1" sqref="H103:J106 H87:I89 F37:F38 F34 N69:Q71" xr:uid="{127046C6-96F2-4743-A80C-5F96BF4D1A15}">
      <formula1>"Si,No"</formula1>
    </dataValidation>
    <dataValidation type="decimal" operator="greaterThan" allowBlank="1" showInputMessage="1" showErrorMessage="1" errorTitle="prova" error="prova" sqref="C17" xr:uid="{D2EB67D0-5F22-45E4-A023-AE66176FB0A4}">
      <formula1>K17*0.1</formula1>
    </dataValidation>
    <dataValidation operator="greaterThan" allowBlank="1" showInputMessage="1" showErrorMessage="1" errorTitle="prova" error="prova" sqref="D17" xr:uid="{D512E04E-99B2-40E1-AD83-0C6178784F0E}"/>
    <dataValidation errorStyle="warning" operator="lessThanOrEqual" allowBlank="1" showInputMessage="1" showErrorMessage="1" errorTitle="Superamento Livello anticipo" error="Il valore richiesto è superiore al 40% previsto dalla normativa" sqref="E17" xr:uid="{9AC87CB2-1DB5-4FE4-9B0C-C1DEE949958D}"/>
    <dataValidation type="list" allowBlank="1" showInputMessage="1" showErrorMessage="1" sqref="E81 I69:I71 K152:K181" xr:uid="{C7740C35-BCE1-4D7F-B510-295E95F82003}">
      <formula1>"SI,NO"</formula1>
    </dataValidation>
    <dataValidation type="list" allowBlank="1" showInputMessage="1" showErrorMessage="1" sqref="F41:F45 F48:F61" xr:uid="{7F1767FB-04A8-4587-B27E-C04B8831E887}">
      <formula1>"Si,No,Non neces."</formula1>
    </dataValidation>
    <dataValidation type="list" allowBlank="1" showInputMessage="1" showErrorMessage="1" sqref="F33" xr:uid="{9FB2B1FB-6E5E-4FD3-9E7D-A14488C3CD27}">
      <formula1>"Si,No,"</formula1>
    </dataValidation>
    <dataValidation type="list" allowBlank="1" showInputMessage="1" showErrorMessage="1" sqref="H28:H29" xr:uid="{AF03A225-08BE-4C37-ABBC-FD150A28416D}">
      <formula1>"Digitale,Cartacea"</formula1>
    </dataValidation>
  </dataValidations>
  <pageMargins left="0.7" right="0.7" top="0.75" bottom="0.75" header="0.3" footer="0.3"/>
  <pageSetup orientation="portrait" r:id="rId1"/>
  <legacyDrawing r:id="rId2"/>
  <extLst>
    <ext xmlns:x14="http://schemas.microsoft.com/office/spreadsheetml/2009/9/main" uri="{78C0D931-6437-407d-A8EE-F0AAD7539E65}">
      <x14:conditionalFormattings>
        <x14:conditionalFormatting xmlns:xm="http://schemas.microsoft.com/office/excel/2006/main">
          <x14:cfRule type="expression" priority="30" id="{A9993DE8-12B5-4344-94B1-1DD571389307}">
            <xm:f>+IF(Anagrafica!$G$2="Capo III",1,0)</xm:f>
            <x14:dxf>
              <font>
                <b/>
                <i val="0"/>
              </font>
              <fill>
                <patternFill>
                  <bgColor theme="8" tint="0.59996337778862885"/>
                </patternFill>
              </fill>
              <border>
                <top style="thin">
                  <color auto="1"/>
                </top>
                <bottom style="thin">
                  <color auto="1"/>
                </bottom>
              </border>
            </x14:dxf>
          </x14:cfRule>
          <xm:sqref>B130</xm:sqref>
        </x14:conditionalFormatting>
        <x14:conditionalFormatting xmlns:xm="http://schemas.microsoft.com/office/excel/2006/main">
          <x14:cfRule type="expression" priority="27" id="{2CA926B2-93E5-4F0D-8B57-4668E4092BFB}">
            <xm:f>+IF(Anagrafica!$G$2="Capo III",1,0)</xm:f>
            <x14:dxf>
              <fill>
                <patternFill>
                  <bgColor theme="8" tint="0.59996337778862885"/>
                </patternFill>
              </fill>
            </x14:dxf>
          </x14:cfRule>
          <xm:sqref>C130:J130</xm:sqref>
        </x14:conditionalFormatting>
        <x14:conditionalFormatting xmlns:xm="http://schemas.microsoft.com/office/excel/2006/main">
          <x14:cfRule type="expression" priority="21" id="{4DF207F7-86B8-4F0A-B4B8-2F2816FD4E1B}">
            <xm:f>+IF(Anagrafica!$G$2="Capo III",1,0)</xm:f>
            <x14:dxf>
              <font>
                <color theme="0"/>
              </font>
              <fill>
                <patternFill>
                  <bgColor theme="0"/>
                </patternFill>
              </fill>
              <border>
                <left/>
                <right/>
                <top/>
                <bottom/>
                <vertical/>
                <horizontal/>
              </border>
            </x14:dxf>
          </x14:cfRule>
          <xm:sqref>B131:J134</xm:sqref>
        </x14:conditionalFormatting>
        <x14:conditionalFormatting xmlns:xm="http://schemas.microsoft.com/office/excel/2006/main">
          <x14:cfRule type="expression" priority="20" id="{9650392D-1F76-4FFD-9BF0-098A1D7612FF}">
            <xm:f>+IF(Anagrafica!$G$2="Capo III",1,0)</xm:f>
            <x14:dxf>
              <border>
                <left/>
                <right/>
                <top style="thin">
                  <color auto="1"/>
                </top>
                <bottom/>
                <vertical/>
                <horizontal/>
              </border>
            </x14:dxf>
          </x14:cfRule>
          <xm:sqref>B131:J131</xm:sqref>
        </x14:conditionalFormatting>
        <x14:conditionalFormatting xmlns:xm="http://schemas.microsoft.com/office/excel/2006/main">
          <x14:cfRule type="expression" priority="6" id="{C7B5D113-FB75-446A-BE98-D82B11BFC691}">
            <xm:f>IF(Anagrafica!$C$38&lt;=150000,1,0)</xm:f>
            <x14:dxf>
              <font>
                <color theme="0"/>
              </font>
              <fill>
                <patternFill>
                  <bgColor theme="0"/>
                </patternFill>
              </fill>
              <border>
                <left/>
                <right/>
                <top/>
                <bottom/>
              </border>
            </x14:dxf>
          </x14:cfRule>
          <xm:sqref>B31:I34</xm:sqref>
        </x14:conditionalFormatting>
        <x14:conditionalFormatting xmlns:xm="http://schemas.microsoft.com/office/excel/2006/main">
          <x14:cfRule type="expression" priority="3" id="{059061FA-5CB0-4A49-9B12-E260A12B6CE9}">
            <xm:f>+IF(Anagrafica!$C$42&lt;&gt;"n.a.",1,0)</xm:f>
            <x14:dxf>
              <border>
                <top style="dashed">
                  <color auto="1"/>
                </top>
                <vertical/>
                <horizontal/>
              </border>
            </x14:dxf>
          </x14:cfRule>
          <x14:cfRule type="expression" priority="5" id="{78C5CA48-FAD8-4DA4-855B-3056BAF8A63A}">
            <xm:f>+IF(Anagrafica!$C$42="n.a.",1,0)</xm:f>
            <x14:dxf>
              <font>
                <color theme="0"/>
              </font>
              <fill>
                <patternFill>
                  <bgColor theme="0"/>
                </patternFill>
              </fill>
              <border>
                <left/>
                <right/>
              </border>
            </x14:dxf>
          </x14:cfRule>
          <xm:sqref>B38:I38</xm:sqref>
        </x14:conditionalFormatting>
        <x14:conditionalFormatting xmlns:xm="http://schemas.microsoft.com/office/excel/2006/main">
          <x14:cfRule type="expression" priority="4" id="{E6C39D4F-0EE8-4527-A4E6-45CC75E3E64E}">
            <xm:f>+IF(AND(Anagrafica!$C$41="n.a.",Anagrafica!$C$42="n.a."),1,0)</xm:f>
            <x14:dxf>
              <font>
                <color theme="0"/>
              </font>
              <fill>
                <patternFill>
                  <bgColor theme="0"/>
                </patternFill>
              </fill>
              <border>
                <left/>
                <right/>
                <bottom/>
                <vertical/>
                <horizontal/>
              </border>
            </x14:dxf>
          </x14:cfRule>
          <xm:sqref>B35:I38</xm:sqref>
        </x14:conditionalFormatting>
        <x14:conditionalFormatting xmlns:xm="http://schemas.microsoft.com/office/excel/2006/main">
          <x14:cfRule type="expression" priority="2" id="{E75E9048-3806-4EF1-AEB6-3B77F1ED9CFA}">
            <xm:f>+IF(AND(Anagrafica!$C$41="n.a.",Anagrafica!$C$42="n.a."),1,0)</xm:f>
            <x14:dxf>
              <font>
                <color theme="0"/>
              </font>
              <fill>
                <patternFill>
                  <bgColor theme="0"/>
                </patternFill>
              </fill>
              <border>
                <left/>
                <right/>
                <top/>
                <bottom/>
                <vertical/>
                <horizontal/>
              </border>
            </x14:dxf>
          </x14:cfRule>
          <xm:sqref>B27:J29</xm:sqref>
        </x14:conditionalFormatting>
        <x14:conditionalFormatting xmlns:xm="http://schemas.microsoft.com/office/excel/2006/main">
          <x14:cfRule type="expression" priority="1" id="{390D4517-2296-4EC8-9770-B39D14259E2D}">
            <xm:f>+IF(Anagrafica!$C$42="n.a.",1,0)</xm:f>
            <x14:dxf>
              <font>
                <color theme="0"/>
              </font>
              <fill>
                <patternFill>
                  <bgColor theme="0"/>
                </patternFill>
              </fill>
              <border>
                <right/>
                <bottom/>
              </border>
            </x14:dxf>
          </x14:cfRule>
          <xm:sqref>C29:J29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74CC59D4-AD83-424D-87D1-6E1CAE560262}">
          <x14:formula1>
            <xm:f>IF('Dati riepilogativi'!$B$2="Capo II",CAPOII_Att,CapoIII_ATT)</xm:f>
          </x14:formula1>
          <xm:sqref>J69:J71</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207BA-29D5-4B5C-B8B8-68BCC22A7375}">
  <sheetPr codeName="Foglio38"/>
  <dimension ref="A1:AM240"/>
  <sheetViews>
    <sheetView topLeftCell="Y1" zoomScaleNormal="100" workbookViewId="0">
      <selection activeCell="AL20" sqref="AL20"/>
    </sheetView>
  </sheetViews>
  <sheetFormatPr defaultRowHeight="14.5" x14ac:dyDescent="0.35"/>
  <cols>
    <col min="1" max="1" width="16.81640625" customWidth="1"/>
    <col min="2" max="2" width="19.81640625" customWidth="1"/>
    <col min="3" max="3" width="21" customWidth="1"/>
    <col min="4" max="4" width="19.1796875" customWidth="1"/>
    <col min="5" max="5" width="21.453125" customWidth="1"/>
    <col min="6" max="6" width="18.26953125" customWidth="1"/>
    <col min="7" max="7" width="28.7265625" customWidth="1"/>
    <col min="8" max="8" width="69.54296875" style="1196" customWidth="1"/>
    <col min="9" max="9" width="14.453125" customWidth="1"/>
    <col min="10" max="10" width="20.81640625" customWidth="1"/>
    <col min="14" max="14" width="18.54296875" bestFit="1" customWidth="1"/>
    <col min="19" max="19" width="10.54296875" customWidth="1"/>
    <col min="20" max="20" width="13.1796875" bestFit="1" customWidth="1"/>
    <col min="21" max="21" width="21.81640625" bestFit="1" customWidth="1"/>
    <col min="22" max="22" width="15.1796875" customWidth="1"/>
    <col min="23" max="23" width="10.1796875" bestFit="1" customWidth="1"/>
    <col min="24" max="24" width="40.81640625" customWidth="1"/>
    <col min="25" max="25" width="13.453125" bestFit="1" customWidth="1"/>
    <col min="26" max="33" width="13.453125" customWidth="1"/>
    <col min="34" max="34" width="12" customWidth="1"/>
    <col min="35" max="35" width="30.7265625" customWidth="1"/>
    <col min="36" max="36" width="21.1796875" bestFit="1" customWidth="1"/>
    <col min="37" max="37" width="23.54296875" customWidth="1"/>
    <col min="38" max="38" width="22.54296875" customWidth="1"/>
    <col min="39" max="39" width="18.81640625" customWidth="1"/>
  </cols>
  <sheetData>
    <row r="1" spans="1:39" ht="15" thickBot="1" x14ac:dyDescent="0.4">
      <c r="H1" s="2238" t="s">
        <v>2279</v>
      </c>
      <c r="I1" s="2239"/>
      <c r="J1" s="2239"/>
      <c r="K1" s="2239"/>
      <c r="L1" s="2239"/>
      <c r="M1" s="2239"/>
      <c r="N1" s="2239"/>
      <c r="O1" s="2240"/>
      <c r="R1" s="2238" t="s">
        <v>2280</v>
      </c>
      <c r="S1" s="2239"/>
      <c r="T1" s="2240"/>
    </row>
    <row r="2" spans="1:39" x14ac:dyDescent="0.35">
      <c r="A2" t="str">
        <f>+AI4</f>
        <v>Acquisto immobile sede dell'attività</v>
      </c>
      <c r="B2" t="str">
        <f>+AI5</f>
        <v>Opere murarie e assimilate</v>
      </c>
      <c r="C2" t="str">
        <f>+AI6</f>
        <v>Macchinari, impianti ed attrezzature</v>
      </c>
      <c r="D2" t="str">
        <f>+AI7</f>
        <v>Programmi informatici, brevetti, licenze e marchi</v>
      </c>
      <c r="E2" t="str">
        <f>+AI8</f>
        <v>TOTALE PROGRAMMA DI SPESA</v>
      </c>
      <c r="F2" t="str">
        <f>+AI9</f>
        <v/>
      </c>
      <c r="H2" s="1196" t="s">
        <v>2281</v>
      </c>
      <c r="I2" t="s">
        <v>2282</v>
      </c>
      <c r="J2" t="s">
        <v>2283</v>
      </c>
      <c r="K2" t="s">
        <v>402</v>
      </c>
      <c r="L2" t="s">
        <v>2069</v>
      </c>
      <c r="M2" t="s">
        <v>2262</v>
      </c>
      <c r="N2" t="s">
        <v>2263</v>
      </c>
      <c r="R2" t="s">
        <v>2284</v>
      </c>
      <c r="S2" t="s">
        <v>563</v>
      </c>
      <c r="T2" t="s">
        <v>2285</v>
      </c>
      <c r="U2" t="s">
        <v>2286</v>
      </c>
      <c r="X2" s="1197" t="s">
        <v>2287</v>
      </c>
      <c r="Y2" s="1197" t="s">
        <v>567</v>
      </c>
      <c r="Z2" t="str">
        <f>+A2</f>
        <v>Acquisto immobile sede dell'attività</v>
      </c>
      <c r="AA2" t="str">
        <f t="shared" ref="AA2:AE2" si="0">+B2</f>
        <v>Opere murarie e assimilate</v>
      </c>
      <c r="AB2" t="str">
        <f t="shared" si="0"/>
        <v>Macchinari, impianti ed attrezzature</v>
      </c>
      <c r="AC2" t="str">
        <f t="shared" si="0"/>
        <v>Programmi informatici, brevetti, licenze e marchi</v>
      </c>
      <c r="AD2" t="str">
        <f t="shared" si="0"/>
        <v>TOTALE PROGRAMMA DI SPESA</v>
      </c>
      <c r="AE2" t="str">
        <f t="shared" si="0"/>
        <v/>
      </c>
      <c r="AK2" t="s">
        <v>2245</v>
      </c>
      <c r="AM2" t="s">
        <v>2246</v>
      </c>
    </row>
    <row r="3" spans="1:39" x14ac:dyDescent="0.35">
      <c r="A3" t="str">
        <f ca="1">IFERROR(IF($K3=A$2,_xlfn.CONCAT($I3,$J3),"NO"),0)</f>
        <v>NO</v>
      </c>
      <c r="B3" t="str">
        <f ca="1">IFERROR(IF($K3=B$2,_xlfn.CONCAT($I3,$J3),"NO"),0)</f>
        <v>NO</v>
      </c>
      <c r="C3" t="str">
        <f t="shared" ref="C3:F18" ca="1" si="1">IFERROR(IF($K3=C$2,_xlfn.CONCAT($I3,$J3),"NO"),0)</f>
        <v>NO</v>
      </c>
      <c r="D3">
        <f t="shared" ca="1" si="1"/>
        <v>0</v>
      </c>
      <c r="E3" t="str">
        <f t="shared" ca="1" si="1"/>
        <v>NO</v>
      </c>
      <c r="F3" t="str">
        <f t="shared" ca="1" si="1"/>
        <v>NO</v>
      </c>
      <c r="G3" t="str">
        <f t="shared" ref="G3" si="2">IF(Q3=G2,_xlfn.CONCAT(O3,P3))</f>
        <v/>
      </c>
      <c r="H3" s="1196" t="e">
        <f ca="1">_xlfn.CONCAT(I3,J3,)</f>
        <v>#REF!</v>
      </c>
      <c r="I3" t="e" cm="1">
        <f t="array" aca="1" ref="I3" ca="1">+FORNITOREISAL</f>
        <v>#REF!</v>
      </c>
      <c r="J3" t="e" cm="1">
        <f t="array" aca="1" ref="J3" ca="1">+NfatturaISAL</f>
        <v>#REF!</v>
      </c>
      <c r="K3" t="str" cm="1">
        <f t="array" aca="1" ref="K3:K6" ca="1">+Categoriesal1</f>
        <v>Programmi informatici, brevetti, licenze e marchi</v>
      </c>
      <c r="L3" t="e" cm="1">
        <f t="array" aca="1" ref="L3" ca="1">+Ammessosal1</f>
        <v>#REF!</v>
      </c>
      <c r="M3" t="e" cm="1">
        <f t="array" aca="1" ref="M3" ca="1">+Quietanzasal1</f>
        <v>#REF!</v>
      </c>
      <c r="N3" t="e" cm="1">
        <f t="array" aca="1" ref="N3" ca="1">IF(+Quietanzasal1="si",1,0)*Ammessosal1</f>
        <v>#REF!</v>
      </c>
      <c r="R3" t="e" cm="1">
        <f t="array" aca="1" ref="R3" ca="1">+NFATTURAdaquietanzaredelISAL</f>
        <v>#REF!</v>
      </c>
      <c r="S3" t="e" cm="1">
        <f t="array" aca="1" ref="S3" ca="1">+FORNITOREdaquietanzaredeIISAL</f>
        <v>#REF!</v>
      </c>
      <c r="T3" t="str" cm="1">
        <f t="array" aca="1" ref="T3" ca="1">+VettoreQUIETANZATEISAL</f>
        <v>Si</v>
      </c>
      <c r="U3" s="1196" t="e">
        <f ca="1">+IF(T3="si",_xlfn.CONCAT(S3,R3),"")</f>
        <v>#REF!</v>
      </c>
      <c r="V3" t="e" cm="1">
        <f t="array" aca="1" ref="V3:V5" ca="1">+_xlfn.UNIQUE(U3:U1048576)</f>
        <v>#REF!</v>
      </c>
      <c r="X3" s="1198" t="str" cm="1">
        <f t="array" aca="1" ref="X3:X6" ca="1">+Categoriesal1</f>
        <v>Programmi informatici, brevetti, licenze e marchi</v>
      </c>
      <c r="Y3" s="1198">
        <f ca="1">IFERROR(VLOOKUP(V3,A$2:O$1048576,12,FALSE),0)</f>
        <v>0</v>
      </c>
      <c r="Z3" s="1196">
        <f ca="1">SUMIF(A:A,V3,L:L)</f>
        <v>0</v>
      </c>
      <c r="AA3" s="1196">
        <f ca="1">SUMIF(B:B,V3,L:L)</f>
        <v>0</v>
      </c>
      <c r="AB3" s="1196">
        <f ca="1">SUMIF(C:C,V3,L:L)</f>
        <v>0</v>
      </c>
      <c r="AC3" s="1196">
        <f ca="1">SUMIF(D:D,V3,L:L)</f>
        <v>0</v>
      </c>
      <c r="AD3" s="1196">
        <f ca="1">SUMIF(E:E,V3,L:L)</f>
        <v>0</v>
      </c>
      <c r="AE3" s="1196">
        <f ca="1">SUMIF(F:F,V3,L:L)</f>
        <v>0</v>
      </c>
      <c r="AI3" t="s">
        <v>2067</v>
      </c>
      <c r="AJ3" t="s">
        <v>2288</v>
      </c>
      <c r="AK3" t="s">
        <v>2068</v>
      </c>
      <c r="AL3" t="s">
        <v>2289</v>
      </c>
      <c r="AM3" t="s">
        <v>2290</v>
      </c>
    </row>
    <row r="4" spans="1:39" x14ac:dyDescent="0.35">
      <c r="A4" t="str">
        <f t="shared" ref="A4:F56" ca="1" si="3">IFERROR(IF($K4=A$2,_xlfn.CONCAT($I4,$J4),"NO"),0)</f>
        <v>NO</v>
      </c>
      <c r="B4" t="str">
        <f t="shared" ca="1" si="3"/>
        <v/>
      </c>
      <c r="C4" t="str">
        <f t="shared" ca="1" si="1"/>
        <v>NO</v>
      </c>
      <c r="D4" t="str">
        <f t="shared" ca="1" si="1"/>
        <v>NO</v>
      </c>
      <c r="E4" t="str">
        <f t="shared" ca="1" si="1"/>
        <v>NO</v>
      </c>
      <c r="F4" t="str">
        <f t="shared" ca="1" si="1"/>
        <v>NO</v>
      </c>
      <c r="G4" t="str">
        <f t="shared" ref="G4:G67" si="4">IF(Q4=G3,_xlfn.CONCAT(O4,P4))</f>
        <v/>
      </c>
      <c r="H4" s="1196" t="str">
        <f t="shared" ref="H4:H67" si="5">_xlfn.CONCAT(I4,J4,)</f>
        <v/>
      </c>
      <c r="K4" t="str">
        <f ca="1"/>
        <v>Opere murarie e assimilate</v>
      </c>
      <c r="U4" s="1196" t="str">
        <f t="shared" ref="U4:U67" si="6">+IF(T4="si",_xlfn.CONCAT(S4,R4),"")</f>
        <v/>
      </c>
      <c r="V4" t="str">
        <f ca="1"/>
        <v/>
      </c>
      <c r="X4" s="1198" t="str">
        <f ca="1"/>
        <v>Opere murarie e assimilate</v>
      </c>
      <c r="Y4" s="1198">
        <f ca="1">IFERROR(VLOOKUP(V4,A$2:O$1048576,12,FALSE),0)</f>
        <v>0</v>
      </c>
      <c r="Z4" s="1196">
        <f t="shared" ref="Z4:Z19" ca="1" si="7">SUMIF(A:A,V4,L:L)</f>
        <v>0</v>
      </c>
      <c r="AA4" s="1196">
        <f ca="1">SUMIF(B:B,V4,L:L)</f>
        <v>0</v>
      </c>
      <c r="AB4" s="1196">
        <f t="shared" ref="AB4:AB19" ca="1" si="8">SUMIF(C:C,V4,L:L)</f>
        <v>0</v>
      </c>
      <c r="AC4" s="1196">
        <f t="shared" ref="AC4:AC19" ca="1" si="9">SUMIF(D:D,V4,L:L)</f>
        <v>0</v>
      </c>
      <c r="AD4" s="1196">
        <f t="shared" ref="AD4:AD19" ca="1" si="10">SUMIF(E:E,V4,L:L)</f>
        <v>0</v>
      </c>
      <c r="AE4" s="1196">
        <f t="shared" ref="AE4:AE19" ca="1" si="11">SUMIF(F:F,V4,L:L)</f>
        <v>0</v>
      </c>
      <c r="AI4" t="str">
        <f>+IF(Anagrafica!$G$2="Capo II","Opere murarie e assimilate","Acquisto immobile sede dell'attività")</f>
        <v>Acquisto immobile sede dell'attività</v>
      </c>
      <c r="AJ4">
        <f ca="1">SUM(Z:Z)</f>
        <v>0</v>
      </c>
      <c r="AK4" s="264">
        <f ca="1">+'1 SAL'!C110</f>
        <v>0</v>
      </c>
      <c r="AL4" s="316" t="str">
        <f ca="1">IFERROR(+AJ4*Anagrafica!F38,"")</f>
        <v/>
      </c>
      <c r="AM4" s="316">
        <v>0</v>
      </c>
    </row>
    <row r="5" spans="1:39" x14ac:dyDescent="0.35">
      <c r="A5" t="str">
        <f t="shared" ca="1" si="3"/>
        <v>NO</v>
      </c>
      <c r="B5" t="str">
        <f t="shared" ca="1" si="3"/>
        <v>NO</v>
      </c>
      <c r="C5" t="str">
        <f t="shared" ca="1" si="1"/>
        <v>NO</v>
      </c>
      <c r="D5" t="str">
        <f t="shared" ca="1" si="1"/>
        <v>NO</v>
      </c>
      <c r="E5" t="str">
        <f t="shared" ca="1" si="1"/>
        <v>NO</v>
      </c>
      <c r="F5" t="str">
        <f t="shared" ca="1" si="1"/>
        <v>NO</v>
      </c>
      <c r="G5" t="str">
        <f t="shared" si="4"/>
        <v/>
      </c>
      <c r="H5" s="1196" t="str">
        <f t="shared" si="5"/>
        <v/>
      </c>
      <c r="K5" t="str">
        <f ca="1"/>
        <v>Oneri notarili connessi alla stipula del contratto di finanziamento ed oneri connessi alla costituzione della società</v>
      </c>
      <c r="U5" s="1196" t="str">
        <f t="shared" si="6"/>
        <v/>
      </c>
      <c r="V5">
        <f ca="1"/>
        <v>0</v>
      </c>
      <c r="X5" s="1198" t="str">
        <f ca="1"/>
        <v>Oneri notarili connessi alla stipula del contratto di finanziamento ed oneri connessi alla costituzione della società</v>
      </c>
      <c r="Y5" s="1198">
        <f ca="1">IFERROR(VLOOKUP(V5,A$2:O$1048576,12,FALSE),0)</f>
        <v>0</v>
      </c>
      <c r="Z5" s="1196">
        <f t="shared" ca="1" si="7"/>
        <v>0</v>
      </c>
      <c r="AA5" s="1196">
        <f ca="1">SUMIF(B:B,V5,L:L)</f>
        <v>0</v>
      </c>
      <c r="AB5" s="1196">
        <f t="shared" ca="1" si="8"/>
        <v>0</v>
      </c>
      <c r="AC5" s="1196" t="e">
        <f ca="1">SUMIF(D:D,V5,L:L)</f>
        <v>#REF!</v>
      </c>
      <c r="AD5" s="1196">
        <f t="shared" ca="1" si="10"/>
        <v>0</v>
      </c>
      <c r="AE5" s="1196">
        <f t="shared" ca="1" si="11"/>
        <v>0</v>
      </c>
      <c r="AI5" t="str">
        <f>+IF(Anagrafica!$G$2="Capo II","Macchinari, impianti ed attrezzature","Opere murarie e assimilate")</f>
        <v>Opere murarie e assimilate</v>
      </c>
      <c r="AJ5">
        <f ca="1">SUM(AA:AA)</f>
        <v>0</v>
      </c>
      <c r="AK5" s="264">
        <f ca="1">+'1 SAL'!C111</f>
        <v>0</v>
      </c>
      <c r="AL5" s="1213" t="e">
        <f ca="1">+IF(Anagrafica!$G$2="Capo II",(AJ5*Anagrafica!$F$38-AM5),AJ5*Anagrafica!$F$38)</f>
        <v>#DIV/0!</v>
      </c>
      <c r="AM5" s="316">
        <f ca="1">+IFERROR((AJ5/'Calcolo contributo CAPO II'!$C$23)*Anagrafica!$C$37,0)</f>
        <v>0</v>
      </c>
    </row>
    <row r="6" spans="1:39" x14ac:dyDescent="0.35">
      <c r="A6" t="str">
        <f t="shared" ca="1" si="3"/>
        <v>NO</v>
      </c>
      <c r="B6" t="str">
        <f t="shared" ca="1" si="3"/>
        <v>NO</v>
      </c>
      <c r="C6" t="str">
        <f t="shared" ca="1" si="1"/>
        <v>NO</v>
      </c>
      <c r="D6" t="str">
        <f t="shared" ca="1" si="1"/>
        <v>NO</v>
      </c>
      <c r="E6" t="str">
        <f t="shared" ca="1" si="1"/>
        <v>NO</v>
      </c>
      <c r="F6" t="str">
        <f t="shared" ca="1" si="1"/>
        <v>NO</v>
      </c>
      <c r="G6" t="str">
        <f t="shared" si="4"/>
        <v/>
      </c>
      <c r="H6" s="1196" t="str">
        <f t="shared" si="5"/>
        <v/>
      </c>
      <c r="K6" t="str">
        <f ca="1"/>
        <v>Programmi informatici e servizi per le tecnologie dell’informazione e della comunicazione</v>
      </c>
      <c r="U6" s="1196" t="str">
        <f t="shared" si="6"/>
        <v/>
      </c>
      <c r="X6" s="1198" t="str">
        <f ca="1"/>
        <v>Programmi informatici e servizi per le tecnologie dell’informazione e della comunicazione</v>
      </c>
      <c r="Y6" s="1198">
        <f t="shared" ref="Y6:Y10" ca="1" si="12">IFERROR(VLOOKUP(U6,A$2:O$1048576,12,FALSE),0)</f>
        <v>0</v>
      </c>
      <c r="Z6" s="1196">
        <f t="shared" ca="1" si="7"/>
        <v>0</v>
      </c>
      <c r="AA6" s="1196">
        <f t="shared" ref="AA6:AA11" ca="1" si="13">SUMIF(B:B,V6,L:L)</f>
        <v>0</v>
      </c>
      <c r="AB6" s="1196">
        <f t="shared" ca="1" si="8"/>
        <v>0</v>
      </c>
      <c r="AC6" s="1196" t="e">
        <f t="shared" ca="1" si="9"/>
        <v>#REF!</v>
      </c>
      <c r="AD6" s="1196">
        <f t="shared" ca="1" si="10"/>
        <v>0</v>
      </c>
      <c r="AE6" s="1196">
        <f t="shared" ca="1" si="11"/>
        <v>0</v>
      </c>
      <c r="AI6" t="str">
        <f>+IF(Anagrafica!$G$2="Capo II","Programmi informatici e servizi per le tecnologie dell’informazione e della comunicazione","Macchinari, impianti ed attrezzature")</f>
        <v>Macchinari, impianti ed attrezzature</v>
      </c>
      <c r="AJ6">
        <f ca="1">SUM(AB:AB)</f>
        <v>0</v>
      </c>
      <c r="AK6" s="264">
        <f ca="1">+'1 SAL'!C112</f>
        <v>10000</v>
      </c>
      <c r="AL6" s="1213" t="e">
        <f ca="1">+(AJ6*Anagrafica!$F$38-AM6)</f>
        <v>#DIV/0!</v>
      </c>
      <c r="AM6" s="1213" t="e">
        <f ca="1">IF(Anagrafica!$G$2="Capo II",(AJ6/'Calcolo contributo CAPO II'!$C$23)*Anagrafica!$C$37,AJ6/(GBER!$C$11+GBER!$C$13)*Anagrafica!$C$37)</f>
        <v>#DIV/0!</v>
      </c>
    </row>
    <row r="7" spans="1:39" x14ac:dyDescent="0.35">
      <c r="A7" t="str">
        <f t="shared" si="3"/>
        <v>NO</v>
      </c>
      <c r="B7" t="str">
        <f t="shared" si="3"/>
        <v>NO</v>
      </c>
      <c r="C7" t="str">
        <f t="shared" si="1"/>
        <v>NO</v>
      </c>
      <c r="D7" t="str">
        <f t="shared" si="1"/>
        <v>NO</v>
      </c>
      <c r="E7" t="str">
        <f t="shared" si="1"/>
        <v>NO</v>
      </c>
      <c r="F7" t="str">
        <f t="shared" si="1"/>
        <v/>
      </c>
      <c r="G7" t="str">
        <f t="shared" si="4"/>
        <v/>
      </c>
      <c r="H7" s="1196" t="str">
        <f t="shared" si="5"/>
        <v/>
      </c>
      <c r="U7" s="1196" t="str">
        <f t="shared" si="6"/>
        <v/>
      </c>
      <c r="X7" s="1198"/>
      <c r="Y7" s="1198">
        <f t="shared" ca="1" si="12"/>
        <v>0</v>
      </c>
      <c r="Z7" s="1196">
        <f ca="1">SUMIF(A:A,V7,L:L)</f>
        <v>0</v>
      </c>
      <c r="AA7" s="1196">
        <f t="shared" ca="1" si="13"/>
        <v>0</v>
      </c>
      <c r="AB7" s="1196">
        <f t="shared" ca="1" si="8"/>
        <v>0</v>
      </c>
      <c r="AC7" s="1196" t="e">
        <f t="shared" ca="1" si="9"/>
        <v>#REF!</v>
      </c>
      <c r="AD7" s="1196">
        <f t="shared" ca="1" si="10"/>
        <v>0</v>
      </c>
      <c r="AE7" s="1196">
        <f t="shared" ca="1" si="11"/>
        <v>0</v>
      </c>
      <c r="AI7" t="str">
        <f>+IF(Anagrafica!$G$2="Capo II","Acquisto di brevetti o acquisizione di relative licenze d’uso","Programmi informatici, brevetti, licenze e marchi")</f>
        <v>Programmi informatici, brevetti, licenze e marchi</v>
      </c>
      <c r="AJ7" t="e">
        <f ca="1">SUM(AC:AC)</f>
        <v>#REF!</v>
      </c>
      <c r="AK7" s="264">
        <f ca="1">+'1 SAL'!C113</f>
        <v>0</v>
      </c>
      <c r="AL7" s="1213" t="e">
        <f ca="1">+(AJ7*Anagrafica!$F$38-AM7)</f>
        <v>#REF!</v>
      </c>
      <c r="AM7" s="1213" t="e">
        <f ca="1">IF(Anagrafica!$G$2="Capo II",(AJ7/'Calcolo contributo CAPO II'!$C$23)*Anagrafica!$C$37,AJ7/(GBER!$C$11+GBER!$C$13)*Anagrafica!$C$37)</f>
        <v>#REF!</v>
      </c>
    </row>
    <row r="8" spans="1:39" x14ac:dyDescent="0.35">
      <c r="A8" t="str">
        <f t="shared" si="3"/>
        <v>NO</v>
      </c>
      <c r="B8" t="str">
        <f t="shared" si="3"/>
        <v>NO</v>
      </c>
      <c r="C8" t="str">
        <f t="shared" si="1"/>
        <v>NO</v>
      </c>
      <c r="D8" t="str">
        <f t="shared" si="1"/>
        <v>NO</v>
      </c>
      <c r="E8" t="str">
        <f t="shared" si="1"/>
        <v>NO</v>
      </c>
      <c r="F8" t="str">
        <f t="shared" si="1"/>
        <v/>
      </c>
      <c r="G8" t="str">
        <f t="shared" si="4"/>
        <v/>
      </c>
      <c r="H8" s="1196" t="str">
        <f t="shared" si="5"/>
        <v/>
      </c>
      <c r="U8" s="1196" t="str">
        <f t="shared" si="6"/>
        <v/>
      </c>
      <c r="X8" s="1198"/>
      <c r="Y8" s="1198">
        <f t="shared" ca="1" si="12"/>
        <v>0</v>
      </c>
      <c r="Z8" s="1196">
        <f t="shared" ca="1" si="7"/>
        <v>0</v>
      </c>
      <c r="AA8" s="1196">
        <f t="shared" ca="1" si="13"/>
        <v>0</v>
      </c>
      <c r="AB8" s="1196">
        <f t="shared" ca="1" si="8"/>
        <v>0</v>
      </c>
      <c r="AC8" s="1196" t="e">
        <f t="shared" ca="1" si="9"/>
        <v>#REF!</v>
      </c>
      <c r="AD8" s="1196">
        <f t="shared" ca="1" si="10"/>
        <v>0</v>
      </c>
      <c r="AE8" s="1196">
        <f t="shared" ca="1" si="11"/>
        <v>0</v>
      </c>
      <c r="AI8" t="str">
        <f>+IF(Anagrafica!$G$2="Capo II","Consulenze specialistiche","TOTALE PROGRAMMA DI SPESA")</f>
        <v>TOTALE PROGRAMMA DI SPESA</v>
      </c>
      <c r="AJ8">
        <f ca="1">SUM(AD:AD)</f>
        <v>0</v>
      </c>
      <c r="AK8" s="264">
        <f ca="1">+'1 SAL'!C114</f>
        <v>10000</v>
      </c>
      <c r="AL8" s="1213" t="str">
        <f ca="1">+IFERROR(+AJ8*Anagrafica!F38,"")</f>
        <v/>
      </c>
      <c r="AM8" s="1213">
        <v>0</v>
      </c>
    </row>
    <row r="9" spans="1:39" x14ac:dyDescent="0.35">
      <c r="A9" t="str">
        <f t="shared" si="3"/>
        <v>NO</v>
      </c>
      <c r="B9" t="str">
        <f t="shared" si="3"/>
        <v>NO</v>
      </c>
      <c r="C9" t="str">
        <f t="shared" si="1"/>
        <v>NO</v>
      </c>
      <c r="D9" t="str">
        <f t="shared" si="1"/>
        <v>NO</v>
      </c>
      <c r="E9" t="str">
        <f t="shared" si="1"/>
        <v>NO</v>
      </c>
      <c r="F9" t="str">
        <f t="shared" si="1"/>
        <v/>
      </c>
      <c r="G9" t="str">
        <f t="shared" si="4"/>
        <v/>
      </c>
      <c r="H9" s="1196" t="str">
        <f t="shared" si="5"/>
        <v/>
      </c>
      <c r="U9" s="1196" t="str">
        <f t="shared" si="6"/>
        <v/>
      </c>
      <c r="X9" s="1198"/>
      <c r="Y9" s="1198">
        <f t="shared" ca="1" si="12"/>
        <v>0</v>
      </c>
      <c r="Z9" s="1196">
        <f ca="1">SUMIF(A:A,V9,L:L)</f>
        <v>0</v>
      </c>
      <c r="AA9" s="1196">
        <f ca="1">SUMIF(B:B,V9,L:L)</f>
        <v>0</v>
      </c>
      <c r="AB9" s="1196">
        <f t="shared" ca="1" si="8"/>
        <v>0</v>
      </c>
      <c r="AC9" s="1196" t="e">
        <f t="shared" ca="1" si="9"/>
        <v>#REF!</v>
      </c>
      <c r="AD9" s="1196">
        <f t="shared" ca="1" si="10"/>
        <v>0</v>
      </c>
      <c r="AE9" s="1196">
        <f t="shared" ca="1" si="11"/>
        <v>0</v>
      </c>
      <c r="AI9" t="str">
        <f>+IF(Anagrafica!$G$2="Capo II","Oneri notarili connessi alla stipula del contratto di finanziamento ed oneri connessi alla costituzione della società","")</f>
        <v/>
      </c>
      <c r="AJ9">
        <f ca="1">SUM(AE:AE)</f>
        <v>0</v>
      </c>
      <c r="AK9" s="264" t="str">
        <f>+'1 SAL'!C115</f>
        <v/>
      </c>
      <c r="AL9" s="1213">
        <f ca="1">+IFERROR(+AJ9*Anagrafica!F39,"")</f>
        <v>0</v>
      </c>
      <c r="AM9" s="1213">
        <v>0</v>
      </c>
    </row>
    <row r="10" spans="1:39" x14ac:dyDescent="0.35">
      <c r="A10" t="str">
        <f t="shared" si="3"/>
        <v>NO</v>
      </c>
      <c r="B10" t="str">
        <f t="shared" si="3"/>
        <v>NO</v>
      </c>
      <c r="C10" t="str">
        <f t="shared" si="1"/>
        <v>NO</v>
      </c>
      <c r="D10" t="str">
        <f t="shared" si="1"/>
        <v>NO</v>
      </c>
      <c r="E10" t="str">
        <f t="shared" si="1"/>
        <v>NO</v>
      </c>
      <c r="F10" t="str">
        <f t="shared" si="1"/>
        <v/>
      </c>
      <c r="G10" t="str">
        <f t="shared" si="4"/>
        <v/>
      </c>
      <c r="H10" s="1196" t="str">
        <f t="shared" si="5"/>
        <v/>
      </c>
      <c r="U10" s="1196" t="str">
        <f t="shared" si="6"/>
        <v/>
      </c>
      <c r="X10" s="1198"/>
      <c r="Y10" s="1198">
        <f t="shared" ca="1" si="12"/>
        <v>0</v>
      </c>
      <c r="Z10" s="1196">
        <f t="shared" ca="1" si="7"/>
        <v>0</v>
      </c>
      <c r="AA10" s="1196">
        <f t="shared" ca="1" si="13"/>
        <v>0</v>
      </c>
      <c r="AB10" s="1196">
        <f t="shared" ca="1" si="8"/>
        <v>0</v>
      </c>
      <c r="AC10" s="1196" t="e">
        <f t="shared" ca="1" si="9"/>
        <v>#REF!</v>
      </c>
      <c r="AD10" s="1196">
        <f t="shared" ca="1" si="10"/>
        <v>0</v>
      </c>
      <c r="AE10" s="1196">
        <f t="shared" ca="1" si="11"/>
        <v>0</v>
      </c>
      <c r="AI10" t="str">
        <f>+IF(Anagrafica!$G$2="Capo II","TOTALE INVESTIMENTO","")</f>
        <v/>
      </c>
      <c r="AJ10">
        <f ca="1">+SUMIF(W:X,AI10,W:W)</f>
        <v>0</v>
      </c>
      <c r="AK10" s="264" t="str">
        <f>+'1 SAL'!C116</f>
        <v/>
      </c>
      <c r="AL10" s="596">
        <f>+'1 SAL'!X115</f>
        <v>0</v>
      </c>
      <c r="AM10" s="596">
        <v>0</v>
      </c>
    </row>
    <row r="11" spans="1:39" x14ac:dyDescent="0.35">
      <c r="A11" t="str">
        <f t="shared" si="3"/>
        <v>NO</v>
      </c>
      <c r="B11" t="str">
        <f t="shared" si="3"/>
        <v>NO</v>
      </c>
      <c r="C11" t="str">
        <f t="shared" si="1"/>
        <v>NO</v>
      </c>
      <c r="D11" t="str">
        <f t="shared" si="1"/>
        <v>NO</v>
      </c>
      <c r="E11" t="str">
        <f t="shared" si="1"/>
        <v>NO</v>
      </c>
      <c r="F11" t="str">
        <f t="shared" si="1"/>
        <v/>
      </c>
      <c r="G11" t="str">
        <f t="shared" si="4"/>
        <v/>
      </c>
      <c r="H11" s="1196" t="str">
        <f t="shared" si="5"/>
        <v/>
      </c>
      <c r="U11" s="1196" t="str">
        <f t="shared" si="6"/>
        <v/>
      </c>
      <c r="X11" s="1198"/>
      <c r="Y11" s="1198"/>
      <c r="Z11" s="1196">
        <f t="shared" ca="1" si="7"/>
        <v>0</v>
      </c>
      <c r="AA11" s="1196">
        <f t="shared" ca="1" si="13"/>
        <v>0</v>
      </c>
      <c r="AB11" s="1196">
        <f t="shared" ca="1" si="8"/>
        <v>0</v>
      </c>
      <c r="AC11" s="1196" t="e">
        <f t="shared" ca="1" si="9"/>
        <v>#REF!</v>
      </c>
      <c r="AD11" s="1196">
        <f t="shared" ca="1" si="10"/>
        <v>0</v>
      </c>
      <c r="AE11" s="1196">
        <f t="shared" ca="1" si="11"/>
        <v>0</v>
      </c>
      <c r="AI11" t="str">
        <f>+IF(Anagrafica!$G$2="Capo II","Capitale circolante","")</f>
        <v/>
      </c>
      <c r="AJ11">
        <f ca="1">+SUMIF(W:X,AI11,W:W)</f>
        <v>0</v>
      </c>
      <c r="AK11" s="264">
        <f>+'1 SAL'!C117</f>
        <v>0</v>
      </c>
      <c r="AL11" s="596">
        <f>+'1 SAL'!X116</f>
        <v>0</v>
      </c>
      <c r="AM11" s="596">
        <v>0</v>
      </c>
    </row>
    <row r="12" spans="1:39" x14ac:dyDescent="0.35">
      <c r="A12" t="str">
        <f t="shared" si="3"/>
        <v>NO</v>
      </c>
      <c r="B12" t="str">
        <f t="shared" si="3"/>
        <v>NO</v>
      </c>
      <c r="C12" t="str">
        <f t="shared" si="1"/>
        <v>NO</v>
      </c>
      <c r="D12" t="str">
        <f t="shared" si="1"/>
        <v>NO</v>
      </c>
      <c r="E12" t="str">
        <f t="shared" si="1"/>
        <v>NO</v>
      </c>
      <c r="F12" t="str">
        <f t="shared" si="1"/>
        <v/>
      </c>
      <c r="G12" t="str">
        <f t="shared" si="4"/>
        <v/>
      </c>
      <c r="H12" s="1196" t="str">
        <f t="shared" si="5"/>
        <v/>
      </c>
      <c r="U12" s="1196" t="str">
        <f t="shared" si="6"/>
        <v/>
      </c>
      <c r="X12" s="1198"/>
      <c r="Y12" s="1198"/>
      <c r="Z12" s="1196">
        <f t="shared" ca="1" si="7"/>
        <v>0</v>
      </c>
      <c r="AA12" s="1196">
        <f t="shared" ref="AA12:AA19" ca="1" si="14">SUMIF(B:B,V12,L:L)</f>
        <v>0</v>
      </c>
      <c r="AB12" s="1196">
        <f t="shared" ca="1" si="8"/>
        <v>0</v>
      </c>
      <c r="AC12" s="1196" t="e">
        <f t="shared" ca="1" si="9"/>
        <v>#REF!</v>
      </c>
      <c r="AD12" s="1196">
        <f t="shared" ca="1" si="10"/>
        <v>0</v>
      </c>
      <c r="AE12" s="1196">
        <f t="shared" ca="1" si="11"/>
        <v>0</v>
      </c>
      <c r="AI12">
        <f>+'1 SAL'!V117</f>
        <v>0</v>
      </c>
      <c r="AJ12">
        <f ca="1">+SUMIF(W:X,AI12,W:W)</f>
        <v>0</v>
      </c>
      <c r="AK12" s="264" t="str">
        <f>+'1 SAL'!C118</f>
        <v/>
      </c>
      <c r="AL12" s="596">
        <f>+'1 SAL'!X117</f>
        <v>0</v>
      </c>
      <c r="AM12" s="596">
        <v>0</v>
      </c>
    </row>
    <row r="13" spans="1:39" x14ac:dyDescent="0.35">
      <c r="A13" t="str">
        <f t="shared" si="3"/>
        <v>NO</v>
      </c>
      <c r="B13" t="str">
        <f t="shared" si="3"/>
        <v>NO</v>
      </c>
      <c r="C13" t="str">
        <f t="shared" si="1"/>
        <v>NO</v>
      </c>
      <c r="D13" t="str">
        <f t="shared" si="1"/>
        <v>NO</v>
      </c>
      <c r="E13" t="str">
        <f t="shared" si="1"/>
        <v>NO</v>
      </c>
      <c r="F13" t="str">
        <f t="shared" si="1"/>
        <v/>
      </c>
      <c r="G13" t="str">
        <f t="shared" si="4"/>
        <v/>
      </c>
      <c r="H13" s="1196" t="str">
        <f t="shared" si="5"/>
        <v/>
      </c>
      <c r="U13" s="1196" t="str">
        <f t="shared" si="6"/>
        <v/>
      </c>
      <c r="V13" s="318"/>
      <c r="X13" s="1198"/>
      <c r="Y13" s="1198"/>
      <c r="Z13" s="1196">
        <f t="shared" ca="1" si="7"/>
        <v>0</v>
      </c>
      <c r="AA13" s="1196">
        <f t="shared" ca="1" si="14"/>
        <v>0</v>
      </c>
      <c r="AB13" s="1196">
        <f t="shared" ca="1" si="8"/>
        <v>0</v>
      </c>
      <c r="AC13" s="1196" t="e">
        <f t="shared" ca="1" si="9"/>
        <v>#REF!</v>
      </c>
      <c r="AD13" s="1196">
        <f t="shared" ca="1" si="10"/>
        <v>0</v>
      </c>
      <c r="AE13" s="1196">
        <f t="shared" ca="1" si="11"/>
        <v>0</v>
      </c>
    </row>
    <row r="14" spans="1:39" x14ac:dyDescent="0.35">
      <c r="A14" t="str">
        <f t="shared" si="3"/>
        <v>NO</v>
      </c>
      <c r="B14" t="str">
        <f t="shared" si="3"/>
        <v>NO</v>
      </c>
      <c r="C14" t="str">
        <f t="shared" si="1"/>
        <v>NO</v>
      </c>
      <c r="D14" t="str">
        <f t="shared" si="1"/>
        <v>NO</v>
      </c>
      <c r="E14" t="str">
        <f t="shared" si="1"/>
        <v>NO</v>
      </c>
      <c r="F14" t="str">
        <f t="shared" si="1"/>
        <v/>
      </c>
      <c r="G14" t="str">
        <f t="shared" si="4"/>
        <v/>
      </c>
      <c r="H14" s="1196" t="str">
        <f t="shared" si="5"/>
        <v/>
      </c>
      <c r="U14" s="1196" t="str">
        <f t="shared" si="6"/>
        <v/>
      </c>
      <c r="X14" s="1198"/>
      <c r="Y14" s="1198"/>
      <c r="Z14" s="1196">
        <f t="shared" ca="1" si="7"/>
        <v>0</v>
      </c>
      <c r="AA14" s="1196">
        <f t="shared" ca="1" si="14"/>
        <v>0</v>
      </c>
      <c r="AB14" s="1196">
        <f t="shared" ca="1" si="8"/>
        <v>0</v>
      </c>
      <c r="AC14" s="1196" t="e">
        <f t="shared" ca="1" si="9"/>
        <v>#REF!</v>
      </c>
      <c r="AD14" s="1196">
        <f t="shared" ca="1" si="10"/>
        <v>0</v>
      </c>
      <c r="AE14" s="1196">
        <f t="shared" ca="1" si="11"/>
        <v>0</v>
      </c>
      <c r="AK14" t="s">
        <v>2291</v>
      </c>
      <c r="AL14" s="316" t="e">
        <f ca="1">+SUM(AL4:AL12)</f>
        <v>#DIV/0!</v>
      </c>
      <c r="AM14" s="316" t="e">
        <f ca="1">+SUM(AM4:AM12)</f>
        <v>#DIV/0!</v>
      </c>
    </row>
    <row r="15" spans="1:39" ht="58" x14ac:dyDescent="0.35">
      <c r="A15" t="str">
        <f t="shared" si="3"/>
        <v>NO</v>
      </c>
      <c r="B15" t="str">
        <f t="shared" si="3"/>
        <v>NO</v>
      </c>
      <c r="C15" t="str">
        <f t="shared" si="1"/>
        <v>NO</v>
      </c>
      <c r="D15" t="str">
        <f t="shared" si="1"/>
        <v>NO</v>
      </c>
      <c r="E15" t="str">
        <f t="shared" si="1"/>
        <v>NO</v>
      </c>
      <c r="F15" t="str">
        <f t="shared" si="1"/>
        <v/>
      </c>
      <c r="G15" t="str">
        <f t="shared" si="4"/>
        <v/>
      </c>
      <c r="H15" s="1196" t="str">
        <f t="shared" si="5"/>
        <v/>
      </c>
      <c r="U15" s="1196" t="str">
        <f t="shared" si="6"/>
        <v/>
      </c>
      <c r="X15" s="1198"/>
      <c r="Y15" s="1198"/>
      <c r="Z15" s="1196">
        <f t="shared" ca="1" si="7"/>
        <v>0</v>
      </c>
      <c r="AA15" s="1196">
        <f t="shared" ca="1" si="14"/>
        <v>0</v>
      </c>
      <c r="AB15" s="1196">
        <f t="shared" ca="1" si="8"/>
        <v>0</v>
      </c>
      <c r="AC15" s="1196" t="e">
        <f t="shared" ca="1" si="9"/>
        <v>#REF!</v>
      </c>
      <c r="AD15" s="1196">
        <f t="shared" ca="1" si="10"/>
        <v>0</v>
      </c>
      <c r="AE15" s="1196">
        <f t="shared" ca="1" si="11"/>
        <v>0</v>
      </c>
      <c r="AK15" s="110" t="s">
        <v>2292</v>
      </c>
      <c r="AL15" s="1212">
        <f ca="1">+IF(Anagrafica!$G$2="Capo II",+'1 SAL VNQ TAB'!O11,'1 SAL VNQ TAB'!O9)</f>
        <v>0</v>
      </c>
      <c r="AM15" s="264">
        <f ca="1">+IF(Anagrafica!$G$2="Capo II",+'1 SAL VNQ TAB'!N11,'1 SAL VNQ TAB'!N9)</f>
        <v>0</v>
      </c>
    </row>
    <row r="16" spans="1:39" x14ac:dyDescent="0.35">
      <c r="A16" t="str">
        <f t="shared" si="3"/>
        <v>NO</v>
      </c>
      <c r="B16" t="str">
        <f t="shared" si="3"/>
        <v>NO</v>
      </c>
      <c r="C16" t="str">
        <f t="shared" si="1"/>
        <v>NO</v>
      </c>
      <c r="D16" t="str">
        <f t="shared" si="1"/>
        <v>NO</v>
      </c>
      <c r="E16" t="str">
        <f t="shared" si="1"/>
        <v>NO</v>
      </c>
      <c r="F16" t="str">
        <f t="shared" si="1"/>
        <v/>
      </c>
      <c r="G16" t="str">
        <f t="shared" si="4"/>
        <v/>
      </c>
      <c r="H16" s="1196" t="str">
        <f t="shared" si="5"/>
        <v/>
      </c>
      <c r="U16" s="1196" t="str">
        <f t="shared" si="6"/>
        <v/>
      </c>
      <c r="X16" s="1198"/>
      <c r="Y16" s="1198"/>
      <c r="Z16" s="1196">
        <f t="shared" ca="1" si="7"/>
        <v>0</v>
      </c>
      <c r="AA16" s="1196">
        <f t="shared" ca="1" si="14"/>
        <v>0</v>
      </c>
      <c r="AB16" s="1196">
        <f t="shared" ca="1" si="8"/>
        <v>0</v>
      </c>
      <c r="AC16" s="1196" t="e">
        <f t="shared" ca="1" si="9"/>
        <v>#REF!</v>
      </c>
      <c r="AD16" s="1196">
        <f t="shared" ca="1" si="10"/>
        <v>0</v>
      </c>
      <c r="AE16" s="1196">
        <f t="shared" ca="1" si="11"/>
        <v>0</v>
      </c>
    </row>
    <row r="17" spans="1:39" x14ac:dyDescent="0.35">
      <c r="A17" t="str">
        <f t="shared" si="3"/>
        <v>NO</v>
      </c>
      <c r="B17" t="str">
        <f t="shared" si="3"/>
        <v>NO</v>
      </c>
      <c r="C17" t="str">
        <f t="shared" si="1"/>
        <v>NO</v>
      </c>
      <c r="D17" t="str">
        <f t="shared" si="1"/>
        <v>NO</v>
      </c>
      <c r="E17" t="str">
        <f t="shared" si="1"/>
        <v>NO</v>
      </c>
      <c r="F17" t="str">
        <f t="shared" si="1"/>
        <v/>
      </c>
      <c r="G17" t="str">
        <f t="shared" si="4"/>
        <v/>
      </c>
      <c r="H17" s="1196" t="str">
        <f t="shared" si="5"/>
        <v/>
      </c>
      <c r="U17" s="1196" t="str">
        <f t="shared" si="6"/>
        <v/>
      </c>
      <c r="X17" s="1198"/>
      <c r="Y17" s="1198"/>
      <c r="Z17" s="1196">
        <f t="shared" ca="1" si="7"/>
        <v>0</v>
      </c>
      <c r="AA17" s="1196">
        <f t="shared" ca="1" si="14"/>
        <v>0</v>
      </c>
      <c r="AB17" s="1196">
        <f t="shared" ca="1" si="8"/>
        <v>0</v>
      </c>
      <c r="AC17" s="1196" t="e">
        <f t="shared" ca="1" si="9"/>
        <v>#REF!</v>
      </c>
      <c r="AD17" s="1196">
        <f t="shared" ca="1" si="10"/>
        <v>0</v>
      </c>
      <c r="AE17" s="1196">
        <f t="shared" ca="1" si="11"/>
        <v>0</v>
      </c>
      <c r="AK17" t="s">
        <v>2293</v>
      </c>
      <c r="AL17" s="264" t="e">
        <f ca="1">+AL15-AL14</f>
        <v>#DIV/0!</v>
      </c>
      <c r="AM17" s="264" t="e">
        <f ca="1">+AM15-AM14</f>
        <v>#DIV/0!</v>
      </c>
    </row>
    <row r="18" spans="1:39" x14ac:dyDescent="0.35">
      <c r="A18" t="str">
        <f t="shared" si="3"/>
        <v>NO</v>
      </c>
      <c r="B18" t="str">
        <f t="shared" si="3"/>
        <v>NO</v>
      </c>
      <c r="C18" t="str">
        <f t="shared" si="1"/>
        <v>NO</v>
      </c>
      <c r="D18" t="str">
        <f t="shared" si="1"/>
        <v>NO</v>
      </c>
      <c r="E18" t="str">
        <f t="shared" si="1"/>
        <v>NO</v>
      </c>
      <c r="F18" t="str">
        <f t="shared" si="1"/>
        <v/>
      </c>
      <c r="G18" t="str">
        <f t="shared" si="4"/>
        <v/>
      </c>
      <c r="H18" s="1196" t="str">
        <f t="shared" si="5"/>
        <v/>
      </c>
      <c r="U18" s="1196" t="str">
        <f t="shared" si="6"/>
        <v/>
      </c>
      <c r="X18" s="1198"/>
      <c r="Y18" s="1198"/>
      <c r="Z18" s="1196">
        <f t="shared" ca="1" si="7"/>
        <v>0</v>
      </c>
      <c r="AA18" s="1196">
        <f t="shared" ca="1" si="14"/>
        <v>0</v>
      </c>
      <c r="AB18" s="1196">
        <f t="shared" ca="1" si="8"/>
        <v>0</v>
      </c>
      <c r="AC18" s="1196" t="e">
        <f t="shared" ca="1" si="9"/>
        <v>#REF!</v>
      </c>
      <c r="AD18" s="1196">
        <f t="shared" ca="1" si="10"/>
        <v>0</v>
      </c>
      <c r="AE18" s="1196">
        <f t="shared" ca="1" si="11"/>
        <v>0</v>
      </c>
    </row>
    <row r="19" spans="1:39" x14ac:dyDescent="0.35">
      <c r="A19" t="str">
        <f t="shared" si="3"/>
        <v>NO</v>
      </c>
      <c r="B19" t="str">
        <f t="shared" si="3"/>
        <v>NO</v>
      </c>
      <c r="C19" t="str">
        <f t="shared" si="3"/>
        <v>NO</v>
      </c>
      <c r="D19" t="str">
        <f t="shared" si="3"/>
        <v>NO</v>
      </c>
      <c r="E19" t="str">
        <f t="shared" si="3"/>
        <v>NO</v>
      </c>
      <c r="F19" t="str">
        <f t="shared" si="3"/>
        <v/>
      </c>
      <c r="G19" t="str">
        <f t="shared" si="4"/>
        <v/>
      </c>
      <c r="H19" s="1196" t="str">
        <f t="shared" si="5"/>
        <v/>
      </c>
      <c r="U19" s="1196" t="str">
        <f t="shared" si="6"/>
        <v/>
      </c>
      <c r="X19" s="1198"/>
      <c r="Y19" s="1198"/>
      <c r="Z19" s="1196">
        <f t="shared" ca="1" si="7"/>
        <v>0</v>
      </c>
      <c r="AA19" s="1196">
        <f t="shared" ca="1" si="14"/>
        <v>0</v>
      </c>
      <c r="AB19" s="1196">
        <f t="shared" ca="1" si="8"/>
        <v>0</v>
      </c>
      <c r="AC19" s="1196" t="e">
        <f t="shared" ca="1" si="9"/>
        <v>#REF!</v>
      </c>
      <c r="AD19" s="1196">
        <f t="shared" ca="1" si="10"/>
        <v>0</v>
      </c>
      <c r="AE19" s="1196">
        <f t="shared" ca="1" si="11"/>
        <v>0</v>
      </c>
      <c r="AL19" t="s">
        <v>2248</v>
      </c>
      <c r="AM19" t="s">
        <v>2249</v>
      </c>
    </row>
    <row r="20" spans="1:39" x14ac:dyDescent="0.35">
      <c r="A20" t="str">
        <f t="shared" si="3"/>
        <v>NO</v>
      </c>
      <c r="B20" t="str">
        <f t="shared" si="3"/>
        <v>NO</v>
      </c>
      <c r="C20" t="str">
        <f t="shared" si="3"/>
        <v>NO</v>
      </c>
      <c r="D20" t="str">
        <f t="shared" si="3"/>
        <v>NO</v>
      </c>
      <c r="E20" t="str">
        <f t="shared" si="3"/>
        <v>NO</v>
      </c>
      <c r="F20" t="str">
        <f t="shared" si="3"/>
        <v/>
      </c>
      <c r="G20" t="str">
        <f t="shared" si="4"/>
        <v/>
      </c>
      <c r="H20" s="1196" t="str">
        <f t="shared" si="5"/>
        <v/>
      </c>
      <c r="U20" s="1196" t="str">
        <f t="shared" si="6"/>
        <v/>
      </c>
      <c r="AK20" t="s">
        <v>2294</v>
      </c>
      <c r="AL20" s="264">
        <f ca="1">+IF(Anagrafica!$G$2="Capo II",+'2 SAL'!$H$134,+'2 SAL'!$H$130)</f>
        <v>0</v>
      </c>
      <c r="AM20" s="264">
        <f ca="1">+IF(Anagrafica!$G$2="Capo II",'2 SAL'!$I$134,'2 SAL'!$I$130)</f>
        <v>0</v>
      </c>
    </row>
    <row r="21" spans="1:39" x14ac:dyDescent="0.35">
      <c r="A21" t="str">
        <f t="shared" si="3"/>
        <v>NO</v>
      </c>
      <c r="B21" t="str">
        <f t="shared" si="3"/>
        <v>NO</v>
      </c>
      <c r="C21" t="str">
        <f t="shared" si="3"/>
        <v>NO</v>
      </c>
      <c r="D21" t="str">
        <f t="shared" si="3"/>
        <v>NO</v>
      </c>
      <c r="E21" t="str">
        <f t="shared" si="3"/>
        <v>NO</v>
      </c>
      <c r="F21" t="str">
        <f t="shared" si="3"/>
        <v/>
      </c>
      <c r="G21" t="str">
        <f t="shared" si="4"/>
        <v/>
      </c>
      <c r="H21" s="1196" t="str">
        <f t="shared" si="5"/>
        <v/>
      </c>
      <c r="U21" s="1196" t="str">
        <f t="shared" si="6"/>
        <v/>
      </c>
    </row>
    <row r="22" spans="1:39" x14ac:dyDescent="0.35">
      <c r="A22" t="str">
        <f t="shared" si="3"/>
        <v>NO</v>
      </c>
      <c r="B22" t="str">
        <f t="shared" si="3"/>
        <v>NO</v>
      </c>
      <c r="C22" t="str">
        <f t="shared" si="3"/>
        <v>NO</v>
      </c>
      <c r="D22" t="str">
        <f t="shared" si="3"/>
        <v>NO</v>
      </c>
      <c r="E22" t="str">
        <f t="shared" si="3"/>
        <v>NO</v>
      </c>
      <c r="F22" t="str">
        <f t="shared" si="3"/>
        <v/>
      </c>
      <c r="G22" t="str">
        <f t="shared" si="4"/>
        <v/>
      </c>
      <c r="H22" s="1196" t="str">
        <f t="shared" si="5"/>
        <v/>
      </c>
      <c r="U22" s="1196" t="str">
        <f t="shared" si="6"/>
        <v/>
      </c>
      <c r="AK22" t="s">
        <v>2295</v>
      </c>
      <c r="AL22" s="264" t="e">
        <f ca="1">AL20-((IF(AM17&gt;AM20,(AM17-AM20),0))+AL17)</f>
        <v>#DIV/0!</v>
      </c>
      <c r="AM22" s="264" t="e">
        <f ca="1">IF(AM17&gt;AM20,0,AM20-AM17)</f>
        <v>#DIV/0!</v>
      </c>
    </row>
    <row r="23" spans="1:39" x14ac:dyDescent="0.35">
      <c r="A23" t="str">
        <f t="shared" si="3"/>
        <v>NO</v>
      </c>
      <c r="B23" t="str">
        <f t="shared" si="3"/>
        <v>NO</v>
      </c>
      <c r="C23" t="str">
        <f t="shared" si="3"/>
        <v>NO</v>
      </c>
      <c r="D23" t="str">
        <f t="shared" si="3"/>
        <v>NO</v>
      </c>
      <c r="E23" t="str">
        <f t="shared" si="3"/>
        <v>NO</v>
      </c>
      <c r="F23" t="str">
        <f t="shared" si="3"/>
        <v/>
      </c>
      <c r="G23" t="str">
        <f t="shared" si="4"/>
        <v/>
      </c>
      <c r="H23" s="1196" t="str">
        <f t="shared" si="5"/>
        <v/>
      </c>
      <c r="U23" s="1196" t="str">
        <f t="shared" si="6"/>
        <v/>
      </c>
    </row>
    <row r="24" spans="1:39" x14ac:dyDescent="0.35">
      <c r="A24" t="str">
        <f t="shared" si="3"/>
        <v>NO</v>
      </c>
      <c r="B24" t="str">
        <f t="shared" si="3"/>
        <v>NO</v>
      </c>
      <c r="C24" t="str">
        <f t="shared" si="3"/>
        <v>NO</v>
      </c>
      <c r="D24" t="str">
        <f t="shared" si="3"/>
        <v>NO</v>
      </c>
      <c r="E24" t="str">
        <f t="shared" si="3"/>
        <v>NO</v>
      </c>
      <c r="F24" t="str">
        <f t="shared" si="3"/>
        <v/>
      </c>
      <c r="G24" t="str">
        <f t="shared" si="4"/>
        <v/>
      </c>
      <c r="H24" s="1196" t="str">
        <f t="shared" si="5"/>
        <v/>
      </c>
      <c r="U24" s="1196" t="str">
        <f t="shared" si="6"/>
        <v/>
      </c>
      <c r="AK24" t="s">
        <v>2296</v>
      </c>
      <c r="AL24" s="264">
        <f ca="1">+IF(AL20=0,0,+IF(AM20&gt;AM17,0,+AM17-AM20))</f>
        <v>0</v>
      </c>
      <c r="AM24" s="264">
        <f ca="1">-AL24</f>
        <v>0</v>
      </c>
    </row>
    <row r="25" spans="1:39" x14ac:dyDescent="0.35">
      <c r="A25" t="str">
        <f t="shared" si="3"/>
        <v>NO</v>
      </c>
      <c r="B25" t="str">
        <f t="shared" si="3"/>
        <v>NO</v>
      </c>
      <c r="C25" t="str">
        <f t="shared" si="3"/>
        <v>NO</v>
      </c>
      <c r="D25" t="str">
        <f t="shared" si="3"/>
        <v>NO</v>
      </c>
      <c r="E25" t="str">
        <f t="shared" si="3"/>
        <v>NO</v>
      </c>
      <c r="F25" t="str">
        <f t="shared" si="3"/>
        <v/>
      </c>
      <c r="G25" t="str">
        <f t="shared" si="4"/>
        <v/>
      </c>
      <c r="H25" s="1196" t="str">
        <f t="shared" si="5"/>
        <v/>
      </c>
      <c r="U25" s="1196" t="str">
        <f t="shared" si="6"/>
        <v/>
      </c>
    </row>
    <row r="26" spans="1:39" x14ac:dyDescent="0.35">
      <c r="A26" t="str">
        <f t="shared" si="3"/>
        <v>NO</v>
      </c>
      <c r="B26" t="str">
        <f t="shared" si="3"/>
        <v>NO</v>
      </c>
      <c r="C26" t="str">
        <f t="shared" si="3"/>
        <v>NO</v>
      </c>
      <c r="D26" t="str">
        <f t="shared" si="3"/>
        <v>NO</v>
      </c>
      <c r="E26" t="str">
        <f t="shared" si="3"/>
        <v>NO</v>
      </c>
      <c r="F26" t="str">
        <f t="shared" si="3"/>
        <v/>
      </c>
      <c r="G26" t="str">
        <f t="shared" si="4"/>
        <v/>
      </c>
      <c r="H26" s="1196" t="str">
        <f t="shared" si="5"/>
        <v/>
      </c>
      <c r="U26" s="1196" t="str">
        <f t="shared" si="6"/>
        <v/>
      </c>
    </row>
    <row r="27" spans="1:39" x14ac:dyDescent="0.35">
      <c r="A27" t="str">
        <f t="shared" si="3"/>
        <v>NO</v>
      </c>
      <c r="B27" t="str">
        <f t="shared" si="3"/>
        <v>NO</v>
      </c>
      <c r="C27" t="str">
        <f t="shared" si="3"/>
        <v>NO</v>
      </c>
      <c r="D27" t="str">
        <f t="shared" si="3"/>
        <v>NO</v>
      </c>
      <c r="E27" t="str">
        <f t="shared" si="3"/>
        <v>NO</v>
      </c>
      <c r="F27" t="str">
        <f t="shared" si="3"/>
        <v/>
      </c>
      <c r="G27" t="str">
        <f t="shared" si="4"/>
        <v/>
      </c>
      <c r="H27" s="1196" t="str">
        <f t="shared" si="5"/>
        <v/>
      </c>
      <c r="U27" s="1196" t="str">
        <f t="shared" si="6"/>
        <v/>
      </c>
    </row>
    <row r="28" spans="1:39" x14ac:dyDescent="0.35">
      <c r="A28" t="str">
        <f t="shared" si="3"/>
        <v>NO</v>
      </c>
      <c r="B28" t="str">
        <f t="shared" si="3"/>
        <v>NO</v>
      </c>
      <c r="C28" t="str">
        <f t="shared" si="3"/>
        <v>NO</v>
      </c>
      <c r="D28" t="str">
        <f t="shared" si="3"/>
        <v>NO</v>
      </c>
      <c r="E28" t="str">
        <f t="shared" si="3"/>
        <v>NO</v>
      </c>
      <c r="F28" t="str">
        <f t="shared" si="3"/>
        <v/>
      </c>
      <c r="G28" t="str">
        <f t="shared" si="4"/>
        <v/>
      </c>
      <c r="H28" s="1196" t="str">
        <f t="shared" si="5"/>
        <v/>
      </c>
      <c r="U28" s="1196" t="str">
        <f t="shared" si="6"/>
        <v/>
      </c>
    </row>
    <row r="29" spans="1:39" x14ac:dyDescent="0.35">
      <c r="A29" t="str">
        <f t="shared" si="3"/>
        <v>NO</v>
      </c>
      <c r="B29" t="str">
        <f t="shared" si="3"/>
        <v>NO</v>
      </c>
      <c r="C29" t="str">
        <f t="shared" si="3"/>
        <v>NO</v>
      </c>
      <c r="D29" t="str">
        <f t="shared" si="3"/>
        <v>NO</v>
      </c>
      <c r="E29" t="str">
        <f t="shared" si="3"/>
        <v>NO</v>
      </c>
      <c r="F29" t="str">
        <f t="shared" si="3"/>
        <v/>
      </c>
      <c r="G29" t="str">
        <f t="shared" si="4"/>
        <v/>
      </c>
      <c r="H29" s="1196" t="str">
        <f t="shared" si="5"/>
        <v/>
      </c>
      <c r="U29" s="1196" t="str">
        <f t="shared" si="6"/>
        <v/>
      </c>
    </row>
    <row r="30" spans="1:39" x14ac:dyDescent="0.35">
      <c r="A30" t="str">
        <f t="shared" si="3"/>
        <v>NO</v>
      </c>
      <c r="B30" t="str">
        <f t="shared" si="3"/>
        <v>NO</v>
      </c>
      <c r="C30" t="str">
        <f t="shared" si="3"/>
        <v>NO</v>
      </c>
      <c r="D30" t="str">
        <f t="shared" si="3"/>
        <v>NO</v>
      </c>
      <c r="E30" t="str">
        <f t="shared" si="3"/>
        <v>NO</v>
      </c>
      <c r="F30" t="str">
        <f t="shared" si="3"/>
        <v/>
      </c>
      <c r="G30" t="str">
        <f t="shared" si="4"/>
        <v/>
      </c>
      <c r="H30" s="1196" t="str">
        <f t="shared" si="5"/>
        <v/>
      </c>
      <c r="U30" s="1196" t="str">
        <f t="shared" si="6"/>
        <v/>
      </c>
    </row>
    <row r="31" spans="1:39" x14ac:dyDescent="0.35">
      <c r="A31" t="str">
        <f t="shared" si="3"/>
        <v>NO</v>
      </c>
      <c r="B31" t="str">
        <f t="shared" si="3"/>
        <v>NO</v>
      </c>
      <c r="C31" t="str">
        <f t="shared" si="3"/>
        <v>NO</v>
      </c>
      <c r="D31" t="str">
        <f t="shared" si="3"/>
        <v>NO</v>
      </c>
      <c r="E31" t="str">
        <f t="shared" si="3"/>
        <v>NO</v>
      </c>
      <c r="F31" t="str">
        <f t="shared" si="3"/>
        <v/>
      </c>
      <c r="G31" t="str">
        <f t="shared" si="4"/>
        <v/>
      </c>
      <c r="H31" s="1196" t="str">
        <f t="shared" si="5"/>
        <v/>
      </c>
      <c r="U31" s="1196" t="str">
        <f t="shared" si="6"/>
        <v/>
      </c>
    </row>
    <row r="32" spans="1:39" x14ac:dyDescent="0.35">
      <c r="A32" t="str">
        <f t="shared" si="3"/>
        <v>NO</v>
      </c>
      <c r="B32" t="str">
        <f t="shared" si="3"/>
        <v>NO</v>
      </c>
      <c r="C32" t="str">
        <f t="shared" si="3"/>
        <v>NO</v>
      </c>
      <c r="D32" t="str">
        <f t="shared" si="3"/>
        <v>NO</v>
      </c>
      <c r="E32" t="str">
        <f t="shared" si="3"/>
        <v>NO</v>
      </c>
      <c r="F32" t="str">
        <f t="shared" si="3"/>
        <v/>
      </c>
      <c r="G32" t="str">
        <f t="shared" si="4"/>
        <v/>
      </c>
      <c r="H32" s="1196" t="str">
        <f t="shared" si="5"/>
        <v/>
      </c>
      <c r="U32" s="1196" t="str">
        <f t="shared" si="6"/>
        <v/>
      </c>
    </row>
    <row r="33" spans="1:21" x14ac:dyDescent="0.35">
      <c r="A33" t="str">
        <f t="shared" si="3"/>
        <v>NO</v>
      </c>
      <c r="B33" t="str">
        <f t="shared" si="3"/>
        <v>NO</v>
      </c>
      <c r="C33" t="str">
        <f t="shared" si="3"/>
        <v>NO</v>
      </c>
      <c r="D33" t="str">
        <f t="shared" si="3"/>
        <v>NO</v>
      </c>
      <c r="E33" t="str">
        <f t="shared" si="3"/>
        <v>NO</v>
      </c>
      <c r="F33" t="str">
        <f t="shared" si="3"/>
        <v/>
      </c>
      <c r="G33" t="str">
        <f t="shared" si="4"/>
        <v/>
      </c>
      <c r="H33" s="1196" t="str">
        <f t="shared" si="5"/>
        <v/>
      </c>
      <c r="U33" s="1196" t="str">
        <f t="shared" si="6"/>
        <v/>
      </c>
    </row>
    <row r="34" spans="1:21" x14ac:dyDescent="0.35">
      <c r="A34" t="str">
        <f t="shared" si="3"/>
        <v>NO</v>
      </c>
      <c r="B34" t="str">
        <f t="shared" si="3"/>
        <v>NO</v>
      </c>
      <c r="C34" t="str">
        <f t="shared" si="3"/>
        <v>NO</v>
      </c>
      <c r="D34" t="str">
        <f t="shared" si="3"/>
        <v>NO</v>
      </c>
      <c r="E34" t="str">
        <f t="shared" si="3"/>
        <v>NO</v>
      </c>
      <c r="F34" t="str">
        <f t="shared" si="3"/>
        <v/>
      </c>
      <c r="G34" t="str">
        <f t="shared" si="4"/>
        <v/>
      </c>
      <c r="H34" s="1196" t="str">
        <f t="shared" si="5"/>
        <v/>
      </c>
      <c r="U34" s="1196" t="str">
        <f t="shared" si="6"/>
        <v/>
      </c>
    </row>
    <row r="35" spans="1:21" x14ac:dyDescent="0.35">
      <c r="A35" t="str">
        <f t="shared" si="3"/>
        <v>NO</v>
      </c>
      <c r="B35" t="str">
        <f t="shared" si="3"/>
        <v>NO</v>
      </c>
      <c r="C35" t="str">
        <f t="shared" si="3"/>
        <v>NO</v>
      </c>
      <c r="D35" t="str">
        <f t="shared" si="3"/>
        <v>NO</v>
      </c>
      <c r="E35" t="str">
        <f t="shared" si="3"/>
        <v>NO</v>
      </c>
      <c r="F35" t="str">
        <f t="shared" si="3"/>
        <v/>
      </c>
      <c r="G35" t="str">
        <f t="shared" si="4"/>
        <v/>
      </c>
      <c r="H35" s="1196" t="str">
        <f t="shared" si="5"/>
        <v/>
      </c>
      <c r="U35" s="1196" t="str">
        <f t="shared" si="6"/>
        <v/>
      </c>
    </row>
    <row r="36" spans="1:21" x14ac:dyDescent="0.35">
      <c r="A36" t="str">
        <f t="shared" si="3"/>
        <v>NO</v>
      </c>
      <c r="B36" t="str">
        <f t="shared" si="3"/>
        <v>NO</v>
      </c>
      <c r="C36" t="str">
        <f t="shared" si="3"/>
        <v>NO</v>
      </c>
      <c r="D36" t="str">
        <f t="shared" si="3"/>
        <v>NO</v>
      </c>
      <c r="E36" t="str">
        <f t="shared" si="3"/>
        <v>NO</v>
      </c>
      <c r="F36" t="str">
        <f t="shared" si="3"/>
        <v/>
      </c>
      <c r="G36" t="str">
        <f t="shared" si="4"/>
        <v/>
      </c>
      <c r="H36" s="1196" t="str">
        <f t="shared" si="5"/>
        <v/>
      </c>
      <c r="U36" s="1196" t="str">
        <f t="shared" si="6"/>
        <v/>
      </c>
    </row>
    <row r="37" spans="1:21" x14ac:dyDescent="0.35">
      <c r="A37" t="str">
        <f t="shared" si="3"/>
        <v>NO</v>
      </c>
      <c r="B37" t="str">
        <f t="shared" si="3"/>
        <v>NO</v>
      </c>
      <c r="C37" t="str">
        <f t="shared" si="3"/>
        <v>NO</v>
      </c>
      <c r="D37" t="str">
        <f t="shared" si="3"/>
        <v>NO</v>
      </c>
      <c r="E37" t="str">
        <f t="shared" si="3"/>
        <v>NO</v>
      </c>
      <c r="F37" t="str">
        <f t="shared" si="3"/>
        <v/>
      </c>
      <c r="G37" t="str">
        <f t="shared" si="4"/>
        <v/>
      </c>
      <c r="H37" s="1196" t="str">
        <f t="shared" si="5"/>
        <v/>
      </c>
      <c r="U37" s="1196" t="str">
        <f t="shared" si="6"/>
        <v/>
      </c>
    </row>
    <row r="38" spans="1:21" x14ac:dyDescent="0.35">
      <c r="A38" t="str">
        <f t="shared" si="3"/>
        <v>NO</v>
      </c>
      <c r="B38" t="str">
        <f t="shared" si="3"/>
        <v>NO</v>
      </c>
      <c r="C38" t="str">
        <f t="shared" si="3"/>
        <v>NO</v>
      </c>
      <c r="D38" t="str">
        <f t="shared" si="3"/>
        <v>NO</v>
      </c>
      <c r="E38" t="str">
        <f t="shared" si="3"/>
        <v>NO</v>
      </c>
      <c r="F38" t="str">
        <f t="shared" si="3"/>
        <v/>
      </c>
      <c r="G38" t="str">
        <f t="shared" si="4"/>
        <v/>
      </c>
      <c r="H38" s="1196" t="str">
        <f t="shared" si="5"/>
        <v/>
      </c>
      <c r="U38" s="1196" t="str">
        <f t="shared" si="6"/>
        <v/>
      </c>
    </row>
    <row r="39" spans="1:21" x14ac:dyDescent="0.35">
      <c r="A39" t="str">
        <f t="shared" si="3"/>
        <v>NO</v>
      </c>
      <c r="B39" t="str">
        <f t="shared" si="3"/>
        <v>NO</v>
      </c>
      <c r="C39" t="str">
        <f t="shared" si="3"/>
        <v>NO</v>
      </c>
      <c r="D39" t="str">
        <f t="shared" si="3"/>
        <v>NO</v>
      </c>
      <c r="E39" t="str">
        <f t="shared" si="3"/>
        <v>NO</v>
      </c>
      <c r="F39" t="str">
        <f t="shared" si="3"/>
        <v/>
      </c>
      <c r="G39" t="str">
        <f t="shared" si="4"/>
        <v/>
      </c>
      <c r="H39" s="1196" t="str">
        <f t="shared" si="5"/>
        <v/>
      </c>
      <c r="U39" s="1196" t="str">
        <f t="shared" si="6"/>
        <v/>
      </c>
    </row>
    <row r="40" spans="1:21" x14ac:dyDescent="0.35">
      <c r="A40" t="str">
        <f t="shared" si="3"/>
        <v>NO</v>
      </c>
      <c r="B40" t="str">
        <f t="shared" si="3"/>
        <v>NO</v>
      </c>
      <c r="C40" t="str">
        <f t="shared" si="3"/>
        <v>NO</v>
      </c>
      <c r="D40" t="str">
        <f t="shared" si="3"/>
        <v>NO</v>
      </c>
      <c r="E40" t="str">
        <f t="shared" si="3"/>
        <v>NO</v>
      </c>
      <c r="F40" t="str">
        <f t="shared" si="3"/>
        <v/>
      </c>
      <c r="G40" t="str">
        <f t="shared" si="4"/>
        <v/>
      </c>
      <c r="H40" s="1196" t="str">
        <f t="shared" si="5"/>
        <v/>
      </c>
      <c r="U40" s="1196" t="str">
        <f t="shared" si="6"/>
        <v/>
      </c>
    </row>
    <row r="41" spans="1:21" x14ac:dyDescent="0.35">
      <c r="A41" t="str">
        <f t="shared" si="3"/>
        <v>NO</v>
      </c>
      <c r="B41" t="str">
        <f t="shared" si="3"/>
        <v>NO</v>
      </c>
      <c r="C41" t="str">
        <f t="shared" si="3"/>
        <v>NO</v>
      </c>
      <c r="D41" t="str">
        <f t="shared" si="3"/>
        <v>NO</v>
      </c>
      <c r="E41" t="str">
        <f t="shared" si="3"/>
        <v>NO</v>
      </c>
      <c r="F41" t="str">
        <f t="shared" si="3"/>
        <v/>
      </c>
      <c r="G41" t="str">
        <f t="shared" si="4"/>
        <v/>
      </c>
      <c r="H41" s="1196" t="str">
        <f t="shared" si="5"/>
        <v/>
      </c>
      <c r="U41" s="1196" t="str">
        <f t="shared" si="6"/>
        <v/>
      </c>
    </row>
    <row r="42" spans="1:21" x14ac:dyDescent="0.35">
      <c r="A42" t="str">
        <f t="shared" si="3"/>
        <v>NO</v>
      </c>
      <c r="B42" t="str">
        <f t="shared" si="3"/>
        <v>NO</v>
      </c>
      <c r="C42" t="str">
        <f t="shared" si="3"/>
        <v>NO</v>
      </c>
      <c r="D42" t="str">
        <f t="shared" si="3"/>
        <v>NO</v>
      </c>
      <c r="E42" t="str">
        <f t="shared" si="3"/>
        <v>NO</v>
      </c>
      <c r="F42" t="str">
        <f t="shared" si="3"/>
        <v/>
      </c>
      <c r="G42" t="str">
        <f t="shared" si="4"/>
        <v/>
      </c>
      <c r="H42" s="1196" t="str">
        <f t="shared" si="5"/>
        <v/>
      </c>
      <c r="U42" s="1196" t="str">
        <f t="shared" si="6"/>
        <v/>
      </c>
    </row>
    <row r="43" spans="1:21" x14ac:dyDescent="0.35">
      <c r="A43" t="str">
        <f t="shared" si="3"/>
        <v>NO</v>
      </c>
      <c r="B43" t="str">
        <f t="shared" si="3"/>
        <v>NO</v>
      </c>
      <c r="C43" t="str">
        <f t="shared" si="3"/>
        <v>NO</v>
      </c>
      <c r="D43" t="str">
        <f t="shared" si="3"/>
        <v>NO</v>
      </c>
      <c r="E43" t="str">
        <f t="shared" si="3"/>
        <v>NO</v>
      </c>
      <c r="F43" t="str">
        <f t="shared" si="3"/>
        <v/>
      </c>
      <c r="G43" t="str">
        <f t="shared" si="4"/>
        <v/>
      </c>
      <c r="H43" s="1196" t="str">
        <f t="shared" si="5"/>
        <v/>
      </c>
      <c r="U43" s="1196" t="str">
        <f t="shared" si="6"/>
        <v/>
      </c>
    </row>
    <row r="44" spans="1:21" x14ac:dyDescent="0.35">
      <c r="A44" t="str">
        <f t="shared" si="3"/>
        <v>NO</v>
      </c>
      <c r="B44" t="str">
        <f t="shared" si="3"/>
        <v>NO</v>
      </c>
      <c r="C44" t="str">
        <f t="shared" si="3"/>
        <v>NO</v>
      </c>
      <c r="D44" t="str">
        <f t="shared" si="3"/>
        <v>NO</v>
      </c>
      <c r="E44" t="str">
        <f t="shared" si="3"/>
        <v>NO</v>
      </c>
      <c r="F44" t="str">
        <f t="shared" si="3"/>
        <v/>
      </c>
      <c r="G44" t="str">
        <f t="shared" si="4"/>
        <v/>
      </c>
      <c r="H44" s="1196" t="str">
        <f t="shared" si="5"/>
        <v/>
      </c>
      <c r="U44" s="1196" t="str">
        <f t="shared" si="6"/>
        <v/>
      </c>
    </row>
    <row r="45" spans="1:21" x14ac:dyDescent="0.35">
      <c r="A45" t="str">
        <f t="shared" si="3"/>
        <v>NO</v>
      </c>
      <c r="B45" t="str">
        <f t="shared" si="3"/>
        <v>NO</v>
      </c>
      <c r="C45" t="str">
        <f t="shared" si="3"/>
        <v>NO</v>
      </c>
      <c r="D45" t="str">
        <f t="shared" si="3"/>
        <v>NO</v>
      </c>
      <c r="E45" t="str">
        <f t="shared" si="3"/>
        <v>NO</v>
      </c>
      <c r="F45" t="str">
        <f t="shared" si="3"/>
        <v/>
      </c>
      <c r="G45" t="str">
        <f t="shared" si="4"/>
        <v/>
      </c>
      <c r="H45" s="1196" t="str">
        <f t="shared" si="5"/>
        <v/>
      </c>
      <c r="U45" s="1196" t="str">
        <f t="shared" si="6"/>
        <v/>
      </c>
    </row>
    <row r="46" spans="1:21" x14ac:dyDescent="0.35">
      <c r="A46" t="str">
        <f t="shared" si="3"/>
        <v>NO</v>
      </c>
      <c r="B46" t="str">
        <f t="shared" si="3"/>
        <v>NO</v>
      </c>
      <c r="C46" t="str">
        <f t="shared" si="3"/>
        <v>NO</v>
      </c>
      <c r="D46" t="str">
        <f t="shared" si="3"/>
        <v>NO</v>
      </c>
      <c r="E46" t="str">
        <f t="shared" si="3"/>
        <v>NO</v>
      </c>
      <c r="F46" t="str">
        <f t="shared" si="3"/>
        <v/>
      </c>
      <c r="G46" t="str">
        <f t="shared" si="4"/>
        <v/>
      </c>
      <c r="H46" s="1196" t="str">
        <f t="shared" si="5"/>
        <v/>
      </c>
      <c r="U46" s="1196" t="str">
        <f t="shared" si="6"/>
        <v/>
      </c>
    </row>
    <row r="47" spans="1:21" x14ac:dyDescent="0.35">
      <c r="A47" t="str">
        <f t="shared" si="3"/>
        <v>NO</v>
      </c>
      <c r="B47" t="str">
        <f t="shared" si="3"/>
        <v>NO</v>
      </c>
      <c r="C47" t="str">
        <f t="shared" si="3"/>
        <v>NO</v>
      </c>
      <c r="D47" t="str">
        <f t="shared" si="3"/>
        <v>NO</v>
      </c>
      <c r="E47" t="str">
        <f t="shared" si="3"/>
        <v>NO</v>
      </c>
      <c r="F47" t="str">
        <f t="shared" si="3"/>
        <v/>
      </c>
      <c r="G47" t="str">
        <f t="shared" si="4"/>
        <v/>
      </c>
      <c r="H47" s="1196" t="str">
        <f t="shared" si="5"/>
        <v/>
      </c>
      <c r="U47" s="1196" t="str">
        <f t="shared" si="6"/>
        <v/>
      </c>
    </row>
    <row r="48" spans="1:21" x14ac:dyDescent="0.35">
      <c r="A48" t="str">
        <f t="shared" si="3"/>
        <v>NO</v>
      </c>
      <c r="B48" t="str">
        <f t="shared" si="3"/>
        <v>NO</v>
      </c>
      <c r="C48" t="str">
        <f t="shared" si="3"/>
        <v>NO</v>
      </c>
      <c r="D48" t="str">
        <f t="shared" si="3"/>
        <v>NO</v>
      </c>
      <c r="E48" t="str">
        <f t="shared" si="3"/>
        <v>NO</v>
      </c>
      <c r="F48" t="str">
        <f t="shared" si="3"/>
        <v/>
      </c>
      <c r="G48" t="str">
        <f t="shared" si="4"/>
        <v/>
      </c>
      <c r="H48" s="1196" t="str">
        <f t="shared" si="5"/>
        <v/>
      </c>
      <c r="U48" s="1196" t="str">
        <f t="shared" si="6"/>
        <v/>
      </c>
    </row>
    <row r="49" spans="1:21" x14ac:dyDescent="0.35">
      <c r="A49" t="str">
        <f t="shared" si="3"/>
        <v>NO</v>
      </c>
      <c r="B49" t="str">
        <f t="shared" si="3"/>
        <v>NO</v>
      </c>
      <c r="C49" t="str">
        <f t="shared" si="3"/>
        <v>NO</v>
      </c>
      <c r="D49" t="str">
        <f t="shared" si="3"/>
        <v>NO</v>
      </c>
      <c r="E49" t="str">
        <f t="shared" si="3"/>
        <v>NO</v>
      </c>
      <c r="F49" t="str">
        <f t="shared" si="3"/>
        <v/>
      </c>
      <c r="G49" t="str">
        <f t="shared" si="4"/>
        <v/>
      </c>
      <c r="H49" s="1196" t="str">
        <f t="shared" si="5"/>
        <v/>
      </c>
      <c r="U49" s="1196" t="str">
        <f t="shared" si="6"/>
        <v/>
      </c>
    </row>
    <row r="50" spans="1:21" x14ac:dyDescent="0.35">
      <c r="A50" t="str">
        <f t="shared" si="3"/>
        <v>NO</v>
      </c>
      <c r="B50" t="str">
        <f t="shared" si="3"/>
        <v>NO</v>
      </c>
      <c r="C50" t="str">
        <f t="shared" si="3"/>
        <v>NO</v>
      </c>
      <c r="D50" t="str">
        <f t="shared" si="3"/>
        <v>NO</v>
      </c>
      <c r="E50" t="str">
        <f t="shared" si="3"/>
        <v>NO</v>
      </c>
      <c r="F50" t="str">
        <f t="shared" si="3"/>
        <v/>
      </c>
      <c r="G50" t="str">
        <f t="shared" si="4"/>
        <v/>
      </c>
      <c r="H50" s="1196" t="str">
        <f t="shared" si="5"/>
        <v/>
      </c>
      <c r="U50" s="1196" t="str">
        <f t="shared" si="6"/>
        <v/>
      </c>
    </row>
    <row r="51" spans="1:21" x14ac:dyDescent="0.35">
      <c r="A51" t="str">
        <f t="shared" si="3"/>
        <v>NO</v>
      </c>
      <c r="B51" t="str">
        <f t="shared" si="3"/>
        <v>NO</v>
      </c>
      <c r="C51" t="str">
        <f t="shared" si="3"/>
        <v>NO</v>
      </c>
      <c r="D51" t="str">
        <f t="shared" si="3"/>
        <v>NO</v>
      </c>
      <c r="E51" t="str">
        <f t="shared" si="3"/>
        <v>NO</v>
      </c>
      <c r="F51" t="str">
        <f t="shared" si="3"/>
        <v/>
      </c>
      <c r="G51" t="str">
        <f t="shared" si="4"/>
        <v/>
      </c>
      <c r="H51" s="1196" t="str">
        <f t="shared" si="5"/>
        <v/>
      </c>
      <c r="U51" s="1196" t="str">
        <f t="shared" si="6"/>
        <v/>
      </c>
    </row>
    <row r="52" spans="1:21" x14ac:dyDescent="0.35">
      <c r="A52" t="str">
        <f t="shared" si="3"/>
        <v>NO</v>
      </c>
      <c r="B52" t="str">
        <f t="shared" si="3"/>
        <v>NO</v>
      </c>
      <c r="C52" t="str">
        <f t="shared" si="3"/>
        <v>NO</v>
      </c>
      <c r="D52" t="str">
        <f t="shared" si="3"/>
        <v>NO</v>
      </c>
      <c r="E52" t="str">
        <f t="shared" si="3"/>
        <v>NO</v>
      </c>
      <c r="F52" t="str">
        <f t="shared" si="3"/>
        <v/>
      </c>
      <c r="G52" t="str">
        <f t="shared" si="4"/>
        <v/>
      </c>
      <c r="H52" s="1196" t="str">
        <f t="shared" si="5"/>
        <v/>
      </c>
      <c r="U52" s="1196" t="str">
        <f t="shared" si="6"/>
        <v/>
      </c>
    </row>
    <row r="53" spans="1:21" x14ac:dyDescent="0.35">
      <c r="A53" t="str">
        <f t="shared" si="3"/>
        <v>NO</v>
      </c>
      <c r="B53" t="str">
        <f t="shared" si="3"/>
        <v>NO</v>
      </c>
      <c r="C53" t="str">
        <f t="shared" si="3"/>
        <v>NO</v>
      </c>
      <c r="D53" t="str">
        <f t="shared" si="3"/>
        <v>NO</v>
      </c>
      <c r="E53" t="str">
        <f t="shared" si="3"/>
        <v>NO</v>
      </c>
      <c r="F53" t="str">
        <f t="shared" si="3"/>
        <v/>
      </c>
      <c r="G53" t="str">
        <f t="shared" si="4"/>
        <v/>
      </c>
      <c r="H53" s="1196" t="str">
        <f t="shared" si="5"/>
        <v/>
      </c>
      <c r="U53" s="1196" t="str">
        <f t="shared" si="6"/>
        <v/>
      </c>
    </row>
    <row r="54" spans="1:21" x14ac:dyDescent="0.35">
      <c r="A54" t="str">
        <f t="shared" si="3"/>
        <v>NO</v>
      </c>
      <c r="B54" t="str">
        <f t="shared" si="3"/>
        <v>NO</v>
      </c>
      <c r="C54" t="str">
        <f t="shared" si="3"/>
        <v>NO</v>
      </c>
      <c r="D54" t="str">
        <f t="shared" si="3"/>
        <v>NO</v>
      </c>
      <c r="E54" t="str">
        <f t="shared" si="3"/>
        <v>NO</v>
      </c>
      <c r="F54" t="str">
        <f t="shared" si="3"/>
        <v/>
      </c>
      <c r="G54" t="str">
        <f t="shared" si="4"/>
        <v/>
      </c>
      <c r="H54" s="1196" t="str">
        <f t="shared" si="5"/>
        <v/>
      </c>
      <c r="U54" s="1196" t="str">
        <f t="shared" si="6"/>
        <v/>
      </c>
    </row>
    <row r="55" spans="1:21" x14ac:dyDescent="0.35">
      <c r="A55" t="str">
        <f t="shared" si="3"/>
        <v>NO</v>
      </c>
      <c r="B55" t="str">
        <f t="shared" si="3"/>
        <v>NO</v>
      </c>
      <c r="C55" t="str">
        <f t="shared" si="3"/>
        <v>NO</v>
      </c>
      <c r="D55" t="str">
        <f t="shared" si="3"/>
        <v>NO</v>
      </c>
      <c r="E55" t="str">
        <f t="shared" si="3"/>
        <v>NO</v>
      </c>
      <c r="F55" t="str">
        <f t="shared" si="3"/>
        <v/>
      </c>
      <c r="G55" t="str">
        <f t="shared" si="4"/>
        <v/>
      </c>
      <c r="H55" s="1196" t="str">
        <f t="shared" si="5"/>
        <v/>
      </c>
      <c r="U55" s="1196" t="str">
        <f t="shared" si="6"/>
        <v/>
      </c>
    </row>
    <row r="56" spans="1:21" x14ac:dyDescent="0.35">
      <c r="A56" t="str">
        <f t="shared" si="3"/>
        <v>NO</v>
      </c>
      <c r="B56" t="str">
        <f t="shared" si="3"/>
        <v>NO</v>
      </c>
      <c r="C56" t="str">
        <f t="shared" si="3"/>
        <v>NO</v>
      </c>
      <c r="D56" t="str">
        <f t="shared" ref="C56:F119" si="15">IFERROR(IF($K56=D$2,_xlfn.CONCAT($I56,$J56),"NO"),0)</f>
        <v>NO</v>
      </c>
      <c r="E56" t="str">
        <f t="shared" si="15"/>
        <v>NO</v>
      </c>
      <c r="F56" t="str">
        <f t="shared" si="15"/>
        <v/>
      </c>
      <c r="G56" t="str">
        <f t="shared" si="4"/>
        <v/>
      </c>
      <c r="H56" s="1196" t="str">
        <f t="shared" si="5"/>
        <v/>
      </c>
      <c r="U56" s="1196" t="str">
        <f t="shared" si="6"/>
        <v/>
      </c>
    </row>
    <row r="57" spans="1:21" x14ac:dyDescent="0.35">
      <c r="A57" t="str">
        <f t="shared" ref="A57:B88" si="16">IFERROR(IF($K57=A$2,_xlfn.CONCAT($I57,$J57),"NO"),0)</f>
        <v>NO</v>
      </c>
      <c r="B57" t="str">
        <f t="shared" si="16"/>
        <v>NO</v>
      </c>
      <c r="C57" t="str">
        <f t="shared" si="15"/>
        <v>NO</v>
      </c>
      <c r="D57" t="str">
        <f t="shared" si="15"/>
        <v>NO</v>
      </c>
      <c r="E57" t="str">
        <f t="shared" si="15"/>
        <v>NO</v>
      </c>
      <c r="F57" t="str">
        <f t="shared" si="15"/>
        <v/>
      </c>
      <c r="G57" t="str">
        <f t="shared" si="4"/>
        <v/>
      </c>
      <c r="H57" s="1196" t="str">
        <f t="shared" si="5"/>
        <v/>
      </c>
      <c r="U57" s="1196" t="str">
        <f t="shared" si="6"/>
        <v/>
      </c>
    </row>
    <row r="58" spans="1:21" x14ac:dyDescent="0.35">
      <c r="A58" t="str">
        <f t="shared" si="16"/>
        <v>NO</v>
      </c>
      <c r="B58" t="str">
        <f t="shared" si="16"/>
        <v>NO</v>
      </c>
      <c r="C58" t="str">
        <f t="shared" si="15"/>
        <v>NO</v>
      </c>
      <c r="D58" t="str">
        <f t="shared" si="15"/>
        <v>NO</v>
      </c>
      <c r="E58" t="str">
        <f t="shared" si="15"/>
        <v>NO</v>
      </c>
      <c r="F58" t="str">
        <f t="shared" si="15"/>
        <v/>
      </c>
      <c r="G58" t="str">
        <f t="shared" si="4"/>
        <v/>
      </c>
      <c r="H58" s="1196" t="str">
        <f t="shared" si="5"/>
        <v/>
      </c>
      <c r="U58" s="1196" t="str">
        <f t="shared" si="6"/>
        <v/>
      </c>
    </row>
    <row r="59" spans="1:21" x14ac:dyDescent="0.35">
      <c r="A59" t="str">
        <f t="shared" si="16"/>
        <v>NO</v>
      </c>
      <c r="B59" t="str">
        <f t="shared" si="16"/>
        <v>NO</v>
      </c>
      <c r="C59" t="str">
        <f t="shared" si="15"/>
        <v>NO</v>
      </c>
      <c r="D59" t="str">
        <f t="shared" si="15"/>
        <v>NO</v>
      </c>
      <c r="E59" t="str">
        <f t="shared" si="15"/>
        <v>NO</v>
      </c>
      <c r="F59" t="str">
        <f t="shared" si="15"/>
        <v/>
      </c>
      <c r="G59" t="str">
        <f t="shared" si="4"/>
        <v/>
      </c>
      <c r="H59" s="1196" t="str">
        <f t="shared" si="5"/>
        <v/>
      </c>
      <c r="U59" s="1196" t="str">
        <f t="shared" si="6"/>
        <v/>
      </c>
    </row>
    <row r="60" spans="1:21" x14ac:dyDescent="0.35">
      <c r="A60" t="str">
        <f t="shared" si="16"/>
        <v>NO</v>
      </c>
      <c r="B60" t="str">
        <f t="shared" si="16"/>
        <v>NO</v>
      </c>
      <c r="C60" t="str">
        <f t="shared" si="15"/>
        <v>NO</v>
      </c>
      <c r="D60" t="str">
        <f t="shared" si="15"/>
        <v>NO</v>
      </c>
      <c r="E60" t="str">
        <f t="shared" si="15"/>
        <v>NO</v>
      </c>
      <c r="F60" t="str">
        <f t="shared" si="15"/>
        <v/>
      </c>
      <c r="G60" t="str">
        <f t="shared" si="4"/>
        <v/>
      </c>
      <c r="H60" s="1196" t="str">
        <f t="shared" si="5"/>
        <v/>
      </c>
      <c r="U60" s="1196" t="str">
        <f t="shared" si="6"/>
        <v/>
      </c>
    </row>
    <row r="61" spans="1:21" x14ac:dyDescent="0.35">
      <c r="A61" t="str">
        <f t="shared" si="16"/>
        <v>NO</v>
      </c>
      <c r="B61" t="str">
        <f t="shared" si="16"/>
        <v>NO</v>
      </c>
      <c r="C61" t="str">
        <f t="shared" si="15"/>
        <v>NO</v>
      </c>
      <c r="D61" t="str">
        <f t="shared" si="15"/>
        <v>NO</v>
      </c>
      <c r="E61" t="str">
        <f t="shared" si="15"/>
        <v>NO</v>
      </c>
      <c r="F61" t="str">
        <f t="shared" si="15"/>
        <v/>
      </c>
      <c r="G61" t="str">
        <f t="shared" si="4"/>
        <v/>
      </c>
      <c r="H61" s="1196" t="str">
        <f t="shared" si="5"/>
        <v/>
      </c>
      <c r="U61" s="1196" t="str">
        <f t="shared" si="6"/>
        <v/>
      </c>
    </row>
    <row r="62" spans="1:21" x14ac:dyDescent="0.35">
      <c r="A62" t="str">
        <f t="shared" si="16"/>
        <v>NO</v>
      </c>
      <c r="B62" t="str">
        <f t="shared" si="16"/>
        <v>NO</v>
      </c>
      <c r="C62" t="str">
        <f t="shared" si="15"/>
        <v>NO</v>
      </c>
      <c r="D62" t="str">
        <f t="shared" si="15"/>
        <v>NO</v>
      </c>
      <c r="E62" t="str">
        <f t="shared" si="15"/>
        <v>NO</v>
      </c>
      <c r="F62" t="str">
        <f t="shared" si="15"/>
        <v/>
      </c>
      <c r="G62" t="str">
        <f t="shared" si="4"/>
        <v/>
      </c>
      <c r="H62" s="1196" t="str">
        <f t="shared" si="5"/>
        <v/>
      </c>
      <c r="U62" s="1196" t="str">
        <f t="shared" si="6"/>
        <v/>
      </c>
    </row>
    <row r="63" spans="1:21" x14ac:dyDescent="0.35">
      <c r="A63" t="str">
        <f t="shared" si="16"/>
        <v>NO</v>
      </c>
      <c r="B63" t="str">
        <f t="shared" si="16"/>
        <v>NO</v>
      </c>
      <c r="C63" t="str">
        <f t="shared" si="15"/>
        <v>NO</v>
      </c>
      <c r="D63" t="str">
        <f t="shared" si="15"/>
        <v>NO</v>
      </c>
      <c r="E63" t="str">
        <f t="shared" si="15"/>
        <v>NO</v>
      </c>
      <c r="F63" t="str">
        <f t="shared" si="15"/>
        <v/>
      </c>
      <c r="G63" t="str">
        <f t="shared" si="4"/>
        <v/>
      </c>
      <c r="H63" s="1196" t="str">
        <f t="shared" si="5"/>
        <v/>
      </c>
      <c r="U63" s="1196" t="str">
        <f t="shared" si="6"/>
        <v/>
      </c>
    </row>
    <row r="64" spans="1:21" x14ac:dyDescent="0.35">
      <c r="A64" t="str">
        <f t="shared" si="16"/>
        <v>NO</v>
      </c>
      <c r="B64" t="str">
        <f t="shared" si="16"/>
        <v>NO</v>
      </c>
      <c r="C64" t="str">
        <f t="shared" si="15"/>
        <v>NO</v>
      </c>
      <c r="D64" t="str">
        <f t="shared" si="15"/>
        <v>NO</v>
      </c>
      <c r="E64" t="str">
        <f t="shared" si="15"/>
        <v>NO</v>
      </c>
      <c r="F64" t="str">
        <f t="shared" si="15"/>
        <v/>
      </c>
      <c r="G64" t="str">
        <f t="shared" si="4"/>
        <v/>
      </c>
      <c r="H64" s="1196" t="str">
        <f t="shared" si="5"/>
        <v/>
      </c>
      <c r="U64" s="1196" t="str">
        <f t="shared" si="6"/>
        <v/>
      </c>
    </row>
    <row r="65" spans="1:21" x14ac:dyDescent="0.35">
      <c r="A65" t="str">
        <f t="shared" si="16"/>
        <v>NO</v>
      </c>
      <c r="B65" t="str">
        <f t="shared" si="16"/>
        <v>NO</v>
      </c>
      <c r="C65" t="str">
        <f t="shared" si="15"/>
        <v>NO</v>
      </c>
      <c r="D65" t="str">
        <f t="shared" si="15"/>
        <v>NO</v>
      </c>
      <c r="E65" t="str">
        <f t="shared" si="15"/>
        <v>NO</v>
      </c>
      <c r="F65" t="str">
        <f t="shared" si="15"/>
        <v/>
      </c>
      <c r="G65" t="str">
        <f t="shared" si="4"/>
        <v/>
      </c>
      <c r="H65" s="1196" t="str">
        <f t="shared" si="5"/>
        <v/>
      </c>
      <c r="U65" s="1196" t="str">
        <f t="shared" si="6"/>
        <v/>
      </c>
    </row>
    <row r="66" spans="1:21" x14ac:dyDescent="0.35">
      <c r="A66" t="str">
        <f t="shared" si="16"/>
        <v>NO</v>
      </c>
      <c r="B66" t="str">
        <f t="shared" si="16"/>
        <v>NO</v>
      </c>
      <c r="C66" t="str">
        <f t="shared" si="15"/>
        <v>NO</v>
      </c>
      <c r="D66" t="str">
        <f t="shared" si="15"/>
        <v>NO</v>
      </c>
      <c r="E66" t="str">
        <f t="shared" si="15"/>
        <v>NO</v>
      </c>
      <c r="F66" t="str">
        <f t="shared" si="15"/>
        <v/>
      </c>
      <c r="G66" t="str">
        <f t="shared" si="4"/>
        <v/>
      </c>
      <c r="H66" s="1196" t="str">
        <f t="shared" si="5"/>
        <v/>
      </c>
      <c r="U66" s="1196" t="str">
        <f t="shared" si="6"/>
        <v/>
      </c>
    </row>
    <row r="67" spans="1:21" x14ac:dyDescent="0.35">
      <c r="A67" t="str">
        <f t="shared" si="16"/>
        <v>NO</v>
      </c>
      <c r="B67" t="str">
        <f t="shared" si="16"/>
        <v>NO</v>
      </c>
      <c r="C67" t="str">
        <f t="shared" si="15"/>
        <v>NO</v>
      </c>
      <c r="D67" t="str">
        <f t="shared" si="15"/>
        <v>NO</v>
      </c>
      <c r="E67" t="str">
        <f t="shared" si="15"/>
        <v>NO</v>
      </c>
      <c r="F67" t="str">
        <f t="shared" si="15"/>
        <v/>
      </c>
      <c r="G67" t="str">
        <f t="shared" si="4"/>
        <v/>
      </c>
      <c r="H67" s="1196" t="str">
        <f t="shared" si="5"/>
        <v/>
      </c>
      <c r="U67" s="1196" t="str">
        <f t="shared" si="6"/>
        <v/>
      </c>
    </row>
    <row r="68" spans="1:21" x14ac:dyDescent="0.35">
      <c r="A68" t="str">
        <f t="shared" si="16"/>
        <v>NO</v>
      </c>
      <c r="B68" t="str">
        <f t="shared" si="16"/>
        <v>NO</v>
      </c>
      <c r="C68" t="str">
        <f t="shared" si="15"/>
        <v>NO</v>
      </c>
      <c r="D68" t="str">
        <f t="shared" si="15"/>
        <v>NO</v>
      </c>
      <c r="E68" t="str">
        <f t="shared" si="15"/>
        <v>NO</v>
      </c>
      <c r="F68" t="str">
        <f t="shared" si="15"/>
        <v/>
      </c>
      <c r="G68" t="str">
        <f t="shared" ref="G68:G131" si="17">IF(Q68=G67,_xlfn.CONCAT(O68,P68))</f>
        <v/>
      </c>
      <c r="H68" s="1196" t="str">
        <f t="shared" ref="H68:H131" si="18">_xlfn.CONCAT(I68,J68,)</f>
        <v/>
      </c>
      <c r="U68" s="1196" t="str">
        <f t="shared" ref="U68:U131" si="19">+IF(T68="si",_xlfn.CONCAT(S68,R68),"")</f>
        <v/>
      </c>
    </row>
    <row r="69" spans="1:21" x14ac:dyDescent="0.35">
      <c r="A69" t="str">
        <f t="shared" si="16"/>
        <v>NO</v>
      </c>
      <c r="B69" t="str">
        <f t="shared" si="16"/>
        <v>NO</v>
      </c>
      <c r="C69" t="str">
        <f t="shared" si="15"/>
        <v>NO</v>
      </c>
      <c r="D69" t="str">
        <f t="shared" si="15"/>
        <v>NO</v>
      </c>
      <c r="E69" t="str">
        <f t="shared" si="15"/>
        <v>NO</v>
      </c>
      <c r="F69" t="str">
        <f t="shared" si="15"/>
        <v/>
      </c>
      <c r="G69" t="str">
        <f t="shared" si="17"/>
        <v/>
      </c>
      <c r="H69" s="1196" t="str">
        <f t="shared" si="18"/>
        <v/>
      </c>
      <c r="U69" s="1196" t="str">
        <f t="shared" si="19"/>
        <v/>
      </c>
    </row>
    <row r="70" spans="1:21" x14ac:dyDescent="0.35">
      <c r="A70" t="str">
        <f t="shared" si="16"/>
        <v>NO</v>
      </c>
      <c r="B70" t="str">
        <f t="shared" si="16"/>
        <v>NO</v>
      </c>
      <c r="C70" t="str">
        <f t="shared" si="15"/>
        <v>NO</v>
      </c>
      <c r="D70" t="str">
        <f t="shared" si="15"/>
        <v>NO</v>
      </c>
      <c r="E70" t="str">
        <f t="shared" si="15"/>
        <v>NO</v>
      </c>
      <c r="F70" t="str">
        <f t="shared" si="15"/>
        <v/>
      </c>
      <c r="G70" t="str">
        <f t="shared" si="17"/>
        <v/>
      </c>
      <c r="H70" s="1196" t="str">
        <f t="shared" si="18"/>
        <v/>
      </c>
      <c r="U70" s="1196" t="str">
        <f t="shared" si="19"/>
        <v/>
      </c>
    </row>
    <row r="71" spans="1:21" x14ac:dyDescent="0.35">
      <c r="A71" t="str">
        <f t="shared" si="16"/>
        <v>NO</v>
      </c>
      <c r="B71" t="str">
        <f t="shared" si="16"/>
        <v>NO</v>
      </c>
      <c r="C71" t="str">
        <f t="shared" si="15"/>
        <v>NO</v>
      </c>
      <c r="D71" t="str">
        <f t="shared" si="15"/>
        <v>NO</v>
      </c>
      <c r="E71" t="str">
        <f t="shared" si="15"/>
        <v>NO</v>
      </c>
      <c r="F71" t="str">
        <f t="shared" si="15"/>
        <v/>
      </c>
      <c r="G71" t="str">
        <f t="shared" si="17"/>
        <v/>
      </c>
      <c r="H71" s="1196" t="str">
        <f t="shared" si="18"/>
        <v/>
      </c>
      <c r="U71" s="1196" t="str">
        <f t="shared" si="19"/>
        <v/>
      </c>
    </row>
    <row r="72" spans="1:21" x14ac:dyDescent="0.35">
      <c r="A72" t="str">
        <f t="shared" si="16"/>
        <v>NO</v>
      </c>
      <c r="B72" t="str">
        <f t="shared" si="16"/>
        <v>NO</v>
      </c>
      <c r="C72" t="str">
        <f t="shared" si="15"/>
        <v>NO</v>
      </c>
      <c r="D72" t="str">
        <f t="shared" si="15"/>
        <v>NO</v>
      </c>
      <c r="E72" t="str">
        <f t="shared" si="15"/>
        <v>NO</v>
      </c>
      <c r="F72" t="str">
        <f t="shared" si="15"/>
        <v/>
      </c>
      <c r="G72" t="str">
        <f t="shared" si="17"/>
        <v/>
      </c>
      <c r="H72" s="1196" t="str">
        <f t="shared" si="18"/>
        <v/>
      </c>
      <c r="U72" s="1196" t="str">
        <f t="shared" si="19"/>
        <v/>
      </c>
    </row>
    <row r="73" spans="1:21" x14ac:dyDescent="0.35">
      <c r="A73" t="str">
        <f t="shared" si="16"/>
        <v>NO</v>
      </c>
      <c r="B73" t="str">
        <f t="shared" si="16"/>
        <v>NO</v>
      </c>
      <c r="C73" t="str">
        <f t="shared" si="15"/>
        <v>NO</v>
      </c>
      <c r="D73" t="str">
        <f t="shared" si="15"/>
        <v>NO</v>
      </c>
      <c r="E73" t="str">
        <f t="shared" si="15"/>
        <v>NO</v>
      </c>
      <c r="F73" t="str">
        <f t="shared" si="15"/>
        <v/>
      </c>
      <c r="G73" t="str">
        <f t="shared" si="17"/>
        <v/>
      </c>
      <c r="H73" s="1196" t="str">
        <f t="shared" si="18"/>
        <v/>
      </c>
      <c r="U73" s="1196" t="str">
        <f t="shared" si="19"/>
        <v/>
      </c>
    </row>
    <row r="74" spans="1:21" x14ac:dyDescent="0.35">
      <c r="A74" t="str">
        <f t="shared" si="16"/>
        <v>NO</v>
      </c>
      <c r="B74" t="str">
        <f t="shared" si="16"/>
        <v>NO</v>
      </c>
      <c r="C74" t="str">
        <f t="shared" si="15"/>
        <v>NO</v>
      </c>
      <c r="D74" t="str">
        <f t="shared" si="15"/>
        <v>NO</v>
      </c>
      <c r="E74" t="str">
        <f t="shared" si="15"/>
        <v>NO</v>
      </c>
      <c r="F74" t="str">
        <f t="shared" si="15"/>
        <v/>
      </c>
      <c r="G74" t="str">
        <f t="shared" si="17"/>
        <v/>
      </c>
      <c r="H74" s="1196" t="str">
        <f t="shared" si="18"/>
        <v/>
      </c>
      <c r="U74" s="1196" t="str">
        <f t="shared" si="19"/>
        <v/>
      </c>
    </row>
    <row r="75" spans="1:21" x14ac:dyDescent="0.35">
      <c r="A75" t="str">
        <f t="shared" si="16"/>
        <v>NO</v>
      </c>
      <c r="B75" t="str">
        <f t="shared" si="16"/>
        <v>NO</v>
      </c>
      <c r="C75" t="str">
        <f t="shared" si="15"/>
        <v>NO</v>
      </c>
      <c r="D75" t="str">
        <f t="shared" si="15"/>
        <v>NO</v>
      </c>
      <c r="E75" t="str">
        <f t="shared" si="15"/>
        <v>NO</v>
      </c>
      <c r="F75" t="str">
        <f t="shared" si="15"/>
        <v/>
      </c>
      <c r="G75" t="str">
        <f t="shared" si="17"/>
        <v/>
      </c>
      <c r="H75" s="1196" t="str">
        <f t="shared" si="18"/>
        <v/>
      </c>
      <c r="U75" s="1196" t="str">
        <f t="shared" si="19"/>
        <v/>
      </c>
    </row>
    <row r="76" spans="1:21" x14ac:dyDescent="0.35">
      <c r="A76" t="str">
        <f t="shared" si="16"/>
        <v>NO</v>
      </c>
      <c r="B76" t="str">
        <f t="shared" si="16"/>
        <v>NO</v>
      </c>
      <c r="C76" t="str">
        <f t="shared" si="15"/>
        <v>NO</v>
      </c>
      <c r="D76" t="str">
        <f t="shared" si="15"/>
        <v>NO</v>
      </c>
      <c r="E76" t="str">
        <f t="shared" si="15"/>
        <v>NO</v>
      </c>
      <c r="F76" t="str">
        <f t="shared" si="15"/>
        <v/>
      </c>
      <c r="G76" t="str">
        <f t="shared" si="17"/>
        <v/>
      </c>
      <c r="H76" s="1196" t="str">
        <f t="shared" si="18"/>
        <v/>
      </c>
      <c r="U76" s="1196" t="str">
        <f t="shared" si="19"/>
        <v/>
      </c>
    </row>
    <row r="77" spans="1:21" x14ac:dyDescent="0.35">
      <c r="A77" t="str">
        <f t="shared" si="16"/>
        <v>NO</v>
      </c>
      <c r="B77" t="str">
        <f t="shared" si="16"/>
        <v>NO</v>
      </c>
      <c r="C77" t="str">
        <f t="shared" si="15"/>
        <v>NO</v>
      </c>
      <c r="D77" t="str">
        <f t="shared" si="15"/>
        <v>NO</v>
      </c>
      <c r="E77" t="str">
        <f t="shared" si="15"/>
        <v>NO</v>
      </c>
      <c r="F77" t="str">
        <f t="shared" si="15"/>
        <v/>
      </c>
      <c r="G77" t="str">
        <f t="shared" si="17"/>
        <v/>
      </c>
      <c r="H77" s="1196" t="str">
        <f t="shared" si="18"/>
        <v/>
      </c>
      <c r="U77" s="1196" t="str">
        <f t="shared" si="19"/>
        <v/>
      </c>
    </row>
    <row r="78" spans="1:21" x14ac:dyDescent="0.35">
      <c r="A78" t="str">
        <f t="shared" si="16"/>
        <v>NO</v>
      </c>
      <c r="B78" t="str">
        <f t="shared" si="16"/>
        <v>NO</v>
      </c>
      <c r="C78" t="str">
        <f t="shared" si="15"/>
        <v>NO</v>
      </c>
      <c r="D78" t="str">
        <f t="shared" si="15"/>
        <v>NO</v>
      </c>
      <c r="E78" t="str">
        <f t="shared" si="15"/>
        <v>NO</v>
      </c>
      <c r="F78" t="str">
        <f t="shared" si="15"/>
        <v/>
      </c>
      <c r="G78" t="str">
        <f t="shared" si="17"/>
        <v/>
      </c>
      <c r="H78" s="1196" t="str">
        <f t="shared" si="18"/>
        <v/>
      </c>
      <c r="U78" s="1196" t="str">
        <f t="shared" si="19"/>
        <v/>
      </c>
    </row>
    <row r="79" spans="1:21" x14ac:dyDescent="0.35">
      <c r="A79" t="str">
        <f t="shared" si="16"/>
        <v>NO</v>
      </c>
      <c r="B79" t="str">
        <f t="shared" si="16"/>
        <v>NO</v>
      </c>
      <c r="C79" t="str">
        <f t="shared" si="15"/>
        <v>NO</v>
      </c>
      <c r="D79" t="str">
        <f t="shared" si="15"/>
        <v>NO</v>
      </c>
      <c r="E79" t="str">
        <f t="shared" si="15"/>
        <v>NO</v>
      </c>
      <c r="F79" t="str">
        <f t="shared" si="15"/>
        <v/>
      </c>
      <c r="G79" t="str">
        <f t="shared" si="17"/>
        <v/>
      </c>
      <c r="H79" s="1196" t="str">
        <f t="shared" si="18"/>
        <v/>
      </c>
      <c r="U79" s="1196" t="str">
        <f t="shared" si="19"/>
        <v/>
      </c>
    </row>
    <row r="80" spans="1:21" x14ac:dyDescent="0.35">
      <c r="A80" t="str">
        <f t="shared" si="16"/>
        <v>NO</v>
      </c>
      <c r="B80" t="str">
        <f t="shared" si="16"/>
        <v>NO</v>
      </c>
      <c r="C80" t="str">
        <f t="shared" si="15"/>
        <v>NO</v>
      </c>
      <c r="D80" t="str">
        <f t="shared" si="15"/>
        <v>NO</v>
      </c>
      <c r="E80" t="str">
        <f t="shared" si="15"/>
        <v>NO</v>
      </c>
      <c r="F80" t="str">
        <f t="shared" si="15"/>
        <v/>
      </c>
      <c r="G80" t="str">
        <f t="shared" si="17"/>
        <v/>
      </c>
      <c r="H80" s="1196" t="str">
        <f t="shared" si="18"/>
        <v/>
      </c>
      <c r="U80" s="1196" t="str">
        <f t="shared" si="19"/>
        <v/>
      </c>
    </row>
    <row r="81" spans="1:21" x14ac:dyDescent="0.35">
      <c r="A81" t="str">
        <f t="shared" si="16"/>
        <v>NO</v>
      </c>
      <c r="B81" t="str">
        <f t="shared" si="16"/>
        <v>NO</v>
      </c>
      <c r="C81" t="str">
        <f t="shared" si="15"/>
        <v>NO</v>
      </c>
      <c r="D81" t="str">
        <f t="shared" si="15"/>
        <v>NO</v>
      </c>
      <c r="E81" t="str">
        <f t="shared" si="15"/>
        <v>NO</v>
      </c>
      <c r="F81" t="str">
        <f t="shared" si="15"/>
        <v/>
      </c>
      <c r="G81" t="str">
        <f t="shared" si="17"/>
        <v/>
      </c>
      <c r="H81" s="1196" t="str">
        <f t="shared" si="18"/>
        <v/>
      </c>
      <c r="U81" s="1196" t="str">
        <f t="shared" si="19"/>
        <v/>
      </c>
    </row>
    <row r="82" spans="1:21" x14ac:dyDescent="0.35">
      <c r="A82" t="str">
        <f t="shared" si="16"/>
        <v>NO</v>
      </c>
      <c r="B82" t="str">
        <f t="shared" si="16"/>
        <v>NO</v>
      </c>
      <c r="C82" t="str">
        <f t="shared" si="15"/>
        <v>NO</v>
      </c>
      <c r="D82" t="str">
        <f t="shared" si="15"/>
        <v>NO</v>
      </c>
      <c r="E82" t="str">
        <f t="shared" si="15"/>
        <v>NO</v>
      </c>
      <c r="F82" t="str">
        <f t="shared" si="15"/>
        <v/>
      </c>
      <c r="G82" t="str">
        <f t="shared" si="17"/>
        <v/>
      </c>
      <c r="H82" s="1196" t="str">
        <f t="shared" si="18"/>
        <v/>
      </c>
      <c r="U82" s="1196" t="str">
        <f t="shared" si="19"/>
        <v/>
      </c>
    </row>
    <row r="83" spans="1:21" x14ac:dyDescent="0.35">
      <c r="A83" t="str">
        <f t="shared" si="16"/>
        <v>NO</v>
      </c>
      <c r="B83" t="str">
        <f t="shared" si="16"/>
        <v>NO</v>
      </c>
      <c r="C83" t="str">
        <f t="shared" si="15"/>
        <v>NO</v>
      </c>
      <c r="D83" t="str">
        <f t="shared" si="15"/>
        <v>NO</v>
      </c>
      <c r="E83" t="str">
        <f t="shared" si="15"/>
        <v>NO</v>
      </c>
      <c r="F83" t="str">
        <f t="shared" si="15"/>
        <v/>
      </c>
      <c r="G83" t="str">
        <f t="shared" si="17"/>
        <v/>
      </c>
      <c r="H83" s="1196" t="str">
        <f t="shared" si="18"/>
        <v/>
      </c>
      <c r="U83" s="1196" t="str">
        <f t="shared" si="19"/>
        <v/>
      </c>
    </row>
    <row r="84" spans="1:21" x14ac:dyDescent="0.35">
      <c r="A84" t="str">
        <f t="shared" si="16"/>
        <v>NO</v>
      </c>
      <c r="B84" t="str">
        <f t="shared" si="16"/>
        <v>NO</v>
      </c>
      <c r="C84" t="str">
        <f t="shared" si="15"/>
        <v>NO</v>
      </c>
      <c r="D84" t="str">
        <f t="shared" si="15"/>
        <v>NO</v>
      </c>
      <c r="E84" t="str">
        <f t="shared" si="15"/>
        <v>NO</v>
      </c>
      <c r="F84" t="str">
        <f t="shared" si="15"/>
        <v/>
      </c>
      <c r="G84" t="str">
        <f t="shared" si="17"/>
        <v/>
      </c>
      <c r="H84" s="1196" t="str">
        <f t="shared" si="18"/>
        <v/>
      </c>
      <c r="U84" s="1196" t="str">
        <f t="shared" si="19"/>
        <v/>
      </c>
    </row>
    <row r="85" spans="1:21" x14ac:dyDescent="0.35">
      <c r="A85" t="str">
        <f t="shared" si="16"/>
        <v>NO</v>
      </c>
      <c r="B85" t="str">
        <f t="shared" si="16"/>
        <v>NO</v>
      </c>
      <c r="C85" t="str">
        <f t="shared" si="15"/>
        <v>NO</v>
      </c>
      <c r="D85" t="str">
        <f t="shared" si="15"/>
        <v>NO</v>
      </c>
      <c r="E85" t="str">
        <f t="shared" si="15"/>
        <v>NO</v>
      </c>
      <c r="F85" t="str">
        <f t="shared" si="15"/>
        <v/>
      </c>
      <c r="G85" t="str">
        <f t="shared" si="17"/>
        <v/>
      </c>
      <c r="H85" s="1196" t="str">
        <f t="shared" si="18"/>
        <v/>
      </c>
      <c r="U85" s="1196" t="str">
        <f t="shared" si="19"/>
        <v/>
      </c>
    </row>
    <row r="86" spans="1:21" x14ac:dyDescent="0.35">
      <c r="A86" t="str">
        <f t="shared" si="16"/>
        <v>NO</v>
      </c>
      <c r="B86" t="str">
        <f t="shared" si="16"/>
        <v>NO</v>
      </c>
      <c r="C86" t="str">
        <f t="shared" si="15"/>
        <v>NO</v>
      </c>
      <c r="D86" t="str">
        <f t="shared" si="15"/>
        <v>NO</v>
      </c>
      <c r="E86" t="str">
        <f t="shared" si="15"/>
        <v>NO</v>
      </c>
      <c r="F86" t="str">
        <f t="shared" si="15"/>
        <v/>
      </c>
      <c r="G86" t="str">
        <f t="shared" si="17"/>
        <v/>
      </c>
      <c r="H86" s="1196" t="str">
        <f t="shared" si="18"/>
        <v/>
      </c>
      <c r="U86" s="1196" t="str">
        <f t="shared" si="19"/>
        <v/>
      </c>
    </row>
    <row r="87" spans="1:21" x14ac:dyDescent="0.35">
      <c r="A87" t="str">
        <f t="shared" si="16"/>
        <v>NO</v>
      </c>
      <c r="B87" t="str">
        <f t="shared" si="16"/>
        <v>NO</v>
      </c>
      <c r="C87" t="str">
        <f t="shared" si="15"/>
        <v>NO</v>
      </c>
      <c r="D87" t="str">
        <f t="shared" si="15"/>
        <v>NO</v>
      </c>
      <c r="E87" t="str">
        <f t="shared" si="15"/>
        <v>NO</v>
      </c>
      <c r="F87" t="str">
        <f t="shared" si="15"/>
        <v/>
      </c>
      <c r="G87" t="str">
        <f t="shared" si="17"/>
        <v/>
      </c>
      <c r="H87" s="1196" t="str">
        <f t="shared" si="18"/>
        <v/>
      </c>
      <c r="U87" s="1196" t="str">
        <f t="shared" si="19"/>
        <v/>
      </c>
    </row>
    <row r="88" spans="1:21" x14ac:dyDescent="0.35">
      <c r="A88" t="str">
        <f t="shared" si="16"/>
        <v>NO</v>
      </c>
      <c r="B88" t="str">
        <f t="shared" si="16"/>
        <v>NO</v>
      </c>
      <c r="C88" t="str">
        <f t="shared" si="15"/>
        <v>NO</v>
      </c>
      <c r="D88" t="str">
        <f t="shared" si="15"/>
        <v>NO</v>
      </c>
      <c r="E88" t="str">
        <f t="shared" si="15"/>
        <v>NO</v>
      </c>
      <c r="F88" t="str">
        <f t="shared" si="15"/>
        <v/>
      </c>
      <c r="G88" t="str">
        <f t="shared" si="17"/>
        <v/>
      </c>
      <c r="H88" s="1196" t="str">
        <f t="shared" si="18"/>
        <v/>
      </c>
      <c r="U88" s="1196" t="str">
        <f t="shared" si="19"/>
        <v/>
      </c>
    </row>
    <row r="89" spans="1:21" x14ac:dyDescent="0.35">
      <c r="A89" t="str">
        <f t="shared" ref="A89:F120" si="20">IFERROR(IF($K89=A$2,_xlfn.CONCAT($I89,$J89),"NO"),0)</f>
        <v>NO</v>
      </c>
      <c r="B89" t="str">
        <f t="shared" si="20"/>
        <v>NO</v>
      </c>
      <c r="C89" t="str">
        <f t="shared" si="15"/>
        <v>NO</v>
      </c>
      <c r="D89" t="str">
        <f t="shared" si="15"/>
        <v>NO</v>
      </c>
      <c r="E89" t="str">
        <f t="shared" si="15"/>
        <v>NO</v>
      </c>
      <c r="F89" t="str">
        <f t="shared" si="15"/>
        <v/>
      </c>
      <c r="G89" t="str">
        <f t="shared" si="17"/>
        <v/>
      </c>
      <c r="H89" s="1196" t="str">
        <f t="shared" si="18"/>
        <v/>
      </c>
      <c r="U89" s="1196" t="str">
        <f t="shared" si="19"/>
        <v/>
      </c>
    </row>
    <row r="90" spans="1:21" x14ac:dyDescent="0.35">
      <c r="A90" t="str">
        <f t="shared" si="20"/>
        <v>NO</v>
      </c>
      <c r="B90" t="str">
        <f t="shared" si="20"/>
        <v>NO</v>
      </c>
      <c r="C90" t="str">
        <f t="shared" si="15"/>
        <v>NO</v>
      </c>
      <c r="D90" t="str">
        <f t="shared" si="15"/>
        <v>NO</v>
      </c>
      <c r="E90" t="str">
        <f t="shared" si="15"/>
        <v>NO</v>
      </c>
      <c r="F90" t="str">
        <f t="shared" si="15"/>
        <v/>
      </c>
      <c r="G90" t="str">
        <f t="shared" si="17"/>
        <v/>
      </c>
      <c r="H90" s="1196" t="str">
        <f t="shared" si="18"/>
        <v/>
      </c>
      <c r="U90" s="1196" t="str">
        <f t="shared" si="19"/>
        <v/>
      </c>
    </row>
    <row r="91" spans="1:21" x14ac:dyDescent="0.35">
      <c r="A91" t="str">
        <f t="shared" si="20"/>
        <v>NO</v>
      </c>
      <c r="B91" t="str">
        <f t="shared" si="20"/>
        <v>NO</v>
      </c>
      <c r="C91" t="str">
        <f t="shared" si="15"/>
        <v>NO</v>
      </c>
      <c r="D91" t="str">
        <f t="shared" si="15"/>
        <v>NO</v>
      </c>
      <c r="E91" t="str">
        <f t="shared" si="15"/>
        <v>NO</v>
      </c>
      <c r="F91" t="str">
        <f t="shared" si="15"/>
        <v/>
      </c>
      <c r="G91" t="str">
        <f t="shared" si="17"/>
        <v/>
      </c>
      <c r="H91" s="1196" t="str">
        <f t="shared" si="18"/>
        <v/>
      </c>
      <c r="U91" s="1196" t="str">
        <f t="shared" si="19"/>
        <v/>
      </c>
    </row>
    <row r="92" spans="1:21" x14ac:dyDescent="0.35">
      <c r="A92" t="str">
        <f t="shared" si="20"/>
        <v>NO</v>
      </c>
      <c r="B92" t="str">
        <f t="shared" si="20"/>
        <v>NO</v>
      </c>
      <c r="C92" t="str">
        <f t="shared" si="15"/>
        <v>NO</v>
      </c>
      <c r="D92" t="str">
        <f t="shared" si="15"/>
        <v>NO</v>
      </c>
      <c r="E92" t="str">
        <f t="shared" si="15"/>
        <v>NO</v>
      </c>
      <c r="F92" t="str">
        <f t="shared" si="15"/>
        <v/>
      </c>
      <c r="G92" t="str">
        <f t="shared" si="17"/>
        <v/>
      </c>
      <c r="H92" s="1196" t="str">
        <f t="shared" si="18"/>
        <v/>
      </c>
      <c r="U92" s="1196" t="str">
        <f t="shared" si="19"/>
        <v/>
      </c>
    </row>
    <row r="93" spans="1:21" x14ac:dyDescent="0.35">
      <c r="A93" t="str">
        <f t="shared" si="20"/>
        <v>NO</v>
      </c>
      <c r="B93" t="str">
        <f t="shared" si="20"/>
        <v>NO</v>
      </c>
      <c r="C93" t="str">
        <f t="shared" si="15"/>
        <v>NO</v>
      </c>
      <c r="D93" t="str">
        <f t="shared" si="15"/>
        <v>NO</v>
      </c>
      <c r="E93" t="str">
        <f t="shared" si="15"/>
        <v>NO</v>
      </c>
      <c r="F93" t="str">
        <f t="shared" si="15"/>
        <v/>
      </c>
      <c r="G93" t="str">
        <f t="shared" si="17"/>
        <v/>
      </c>
      <c r="H93" s="1196" t="str">
        <f t="shared" si="18"/>
        <v/>
      </c>
      <c r="U93" s="1196" t="str">
        <f t="shared" si="19"/>
        <v/>
      </c>
    </row>
    <row r="94" spans="1:21" x14ac:dyDescent="0.35">
      <c r="A94" t="str">
        <f t="shared" si="20"/>
        <v>NO</v>
      </c>
      <c r="B94" t="str">
        <f t="shared" si="20"/>
        <v>NO</v>
      </c>
      <c r="C94" t="str">
        <f t="shared" si="15"/>
        <v>NO</v>
      </c>
      <c r="D94" t="str">
        <f t="shared" si="15"/>
        <v>NO</v>
      </c>
      <c r="E94" t="str">
        <f t="shared" si="15"/>
        <v>NO</v>
      </c>
      <c r="F94" t="str">
        <f t="shared" si="15"/>
        <v/>
      </c>
      <c r="G94" t="str">
        <f t="shared" si="17"/>
        <v/>
      </c>
      <c r="H94" s="1196" t="str">
        <f t="shared" si="18"/>
        <v/>
      </c>
      <c r="U94" s="1196" t="str">
        <f t="shared" si="19"/>
        <v/>
      </c>
    </row>
    <row r="95" spans="1:21" x14ac:dyDescent="0.35">
      <c r="A95" t="str">
        <f t="shared" si="20"/>
        <v>NO</v>
      </c>
      <c r="B95" t="str">
        <f t="shared" si="20"/>
        <v>NO</v>
      </c>
      <c r="C95" t="str">
        <f t="shared" si="15"/>
        <v>NO</v>
      </c>
      <c r="D95" t="str">
        <f t="shared" si="15"/>
        <v>NO</v>
      </c>
      <c r="E95" t="str">
        <f t="shared" si="15"/>
        <v>NO</v>
      </c>
      <c r="F95" t="str">
        <f t="shared" si="15"/>
        <v/>
      </c>
      <c r="G95" t="str">
        <f t="shared" si="17"/>
        <v/>
      </c>
      <c r="H95" s="1196" t="str">
        <f t="shared" si="18"/>
        <v/>
      </c>
      <c r="U95" s="1196" t="str">
        <f t="shared" si="19"/>
        <v/>
      </c>
    </row>
    <row r="96" spans="1:21" x14ac:dyDescent="0.35">
      <c r="A96" t="str">
        <f t="shared" si="20"/>
        <v>NO</v>
      </c>
      <c r="B96" t="str">
        <f t="shared" si="20"/>
        <v>NO</v>
      </c>
      <c r="C96" t="str">
        <f t="shared" si="15"/>
        <v>NO</v>
      </c>
      <c r="D96" t="str">
        <f t="shared" si="15"/>
        <v>NO</v>
      </c>
      <c r="E96" t="str">
        <f t="shared" si="15"/>
        <v>NO</v>
      </c>
      <c r="F96" t="str">
        <f t="shared" si="15"/>
        <v/>
      </c>
      <c r="G96" t="str">
        <f t="shared" si="17"/>
        <v/>
      </c>
      <c r="H96" s="1196" t="str">
        <f t="shared" si="18"/>
        <v/>
      </c>
      <c r="U96" s="1196" t="str">
        <f t="shared" si="19"/>
        <v/>
      </c>
    </row>
    <row r="97" spans="1:21" x14ac:dyDescent="0.35">
      <c r="A97" t="str">
        <f t="shared" si="20"/>
        <v>NO</v>
      </c>
      <c r="B97" t="str">
        <f t="shared" si="20"/>
        <v>NO</v>
      </c>
      <c r="C97" t="str">
        <f t="shared" si="15"/>
        <v>NO</v>
      </c>
      <c r="D97" t="str">
        <f t="shared" si="15"/>
        <v>NO</v>
      </c>
      <c r="E97" t="str">
        <f t="shared" si="15"/>
        <v>NO</v>
      </c>
      <c r="F97" t="str">
        <f t="shared" si="15"/>
        <v/>
      </c>
      <c r="G97" t="str">
        <f t="shared" si="17"/>
        <v/>
      </c>
      <c r="H97" s="1196" t="str">
        <f t="shared" si="18"/>
        <v/>
      </c>
      <c r="U97" s="1196" t="str">
        <f t="shared" si="19"/>
        <v/>
      </c>
    </row>
    <row r="98" spans="1:21" x14ac:dyDescent="0.35">
      <c r="A98" t="str">
        <f t="shared" si="20"/>
        <v>NO</v>
      </c>
      <c r="B98" t="str">
        <f t="shared" si="20"/>
        <v>NO</v>
      </c>
      <c r="C98" t="str">
        <f t="shared" si="15"/>
        <v>NO</v>
      </c>
      <c r="D98" t="str">
        <f t="shared" si="15"/>
        <v>NO</v>
      </c>
      <c r="E98" t="str">
        <f t="shared" si="15"/>
        <v>NO</v>
      </c>
      <c r="F98" t="str">
        <f t="shared" si="15"/>
        <v/>
      </c>
      <c r="G98" t="str">
        <f t="shared" si="17"/>
        <v/>
      </c>
      <c r="H98" s="1196" t="str">
        <f t="shared" si="18"/>
        <v/>
      </c>
      <c r="U98" s="1196" t="str">
        <f t="shared" si="19"/>
        <v/>
      </c>
    </row>
    <row r="99" spans="1:21" x14ac:dyDescent="0.35">
      <c r="A99" t="str">
        <f t="shared" si="20"/>
        <v>NO</v>
      </c>
      <c r="B99" t="str">
        <f t="shared" si="20"/>
        <v>NO</v>
      </c>
      <c r="C99" t="str">
        <f t="shared" si="15"/>
        <v>NO</v>
      </c>
      <c r="D99" t="str">
        <f t="shared" si="15"/>
        <v>NO</v>
      </c>
      <c r="E99" t="str">
        <f t="shared" si="15"/>
        <v>NO</v>
      </c>
      <c r="F99" t="str">
        <f t="shared" si="15"/>
        <v/>
      </c>
      <c r="G99" t="str">
        <f t="shared" si="17"/>
        <v/>
      </c>
      <c r="H99" s="1196" t="str">
        <f t="shared" si="18"/>
        <v/>
      </c>
      <c r="U99" s="1196" t="str">
        <f t="shared" si="19"/>
        <v/>
      </c>
    </row>
    <row r="100" spans="1:21" x14ac:dyDescent="0.35">
      <c r="A100" t="str">
        <f t="shared" si="20"/>
        <v>NO</v>
      </c>
      <c r="B100" t="str">
        <f t="shared" si="20"/>
        <v>NO</v>
      </c>
      <c r="C100" t="str">
        <f t="shared" si="15"/>
        <v>NO</v>
      </c>
      <c r="D100" t="str">
        <f t="shared" si="15"/>
        <v>NO</v>
      </c>
      <c r="E100" t="str">
        <f t="shared" si="15"/>
        <v>NO</v>
      </c>
      <c r="F100" t="str">
        <f t="shared" si="15"/>
        <v/>
      </c>
      <c r="G100" t="str">
        <f t="shared" si="17"/>
        <v/>
      </c>
      <c r="H100" s="1196" t="str">
        <f t="shared" si="18"/>
        <v/>
      </c>
      <c r="U100" s="1196" t="str">
        <f t="shared" si="19"/>
        <v/>
      </c>
    </row>
    <row r="101" spans="1:21" x14ac:dyDescent="0.35">
      <c r="A101" t="str">
        <f t="shared" si="20"/>
        <v>NO</v>
      </c>
      <c r="B101" t="str">
        <f t="shared" si="20"/>
        <v>NO</v>
      </c>
      <c r="C101" t="str">
        <f t="shared" si="15"/>
        <v>NO</v>
      </c>
      <c r="D101" t="str">
        <f t="shared" si="15"/>
        <v>NO</v>
      </c>
      <c r="E101" t="str">
        <f t="shared" si="15"/>
        <v>NO</v>
      </c>
      <c r="F101" t="str">
        <f t="shared" si="15"/>
        <v/>
      </c>
      <c r="G101" t="str">
        <f t="shared" si="17"/>
        <v/>
      </c>
      <c r="H101" s="1196" t="str">
        <f t="shared" si="18"/>
        <v/>
      </c>
      <c r="U101" s="1196" t="str">
        <f t="shared" si="19"/>
        <v/>
      </c>
    </row>
    <row r="102" spans="1:21" x14ac:dyDescent="0.35">
      <c r="A102" t="str">
        <f t="shared" si="20"/>
        <v>NO</v>
      </c>
      <c r="B102" t="str">
        <f t="shared" si="20"/>
        <v>NO</v>
      </c>
      <c r="C102" t="str">
        <f t="shared" si="15"/>
        <v>NO</v>
      </c>
      <c r="D102" t="str">
        <f t="shared" si="15"/>
        <v>NO</v>
      </c>
      <c r="E102" t="str">
        <f t="shared" si="15"/>
        <v>NO</v>
      </c>
      <c r="F102" t="str">
        <f t="shared" si="15"/>
        <v/>
      </c>
      <c r="G102" t="str">
        <f t="shared" si="17"/>
        <v/>
      </c>
      <c r="H102" s="1196" t="str">
        <f t="shared" si="18"/>
        <v/>
      </c>
      <c r="U102" s="1196" t="str">
        <f t="shared" si="19"/>
        <v/>
      </c>
    </row>
    <row r="103" spans="1:21" x14ac:dyDescent="0.35">
      <c r="A103" t="str">
        <f t="shared" si="20"/>
        <v>NO</v>
      </c>
      <c r="B103" t="str">
        <f t="shared" si="20"/>
        <v>NO</v>
      </c>
      <c r="C103" t="str">
        <f t="shared" si="15"/>
        <v>NO</v>
      </c>
      <c r="D103" t="str">
        <f t="shared" si="15"/>
        <v>NO</v>
      </c>
      <c r="E103" t="str">
        <f t="shared" si="15"/>
        <v>NO</v>
      </c>
      <c r="F103" t="str">
        <f t="shared" si="15"/>
        <v/>
      </c>
      <c r="G103" t="str">
        <f t="shared" si="17"/>
        <v/>
      </c>
      <c r="H103" s="1196" t="str">
        <f t="shared" si="18"/>
        <v/>
      </c>
      <c r="U103" s="1196" t="str">
        <f t="shared" si="19"/>
        <v/>
      </c>
    </row>
    <row r="104" spans="1:21" x14ac:dyDescent="0.35">
      <c r="A104" t="str">
        <f t="shared" si="20"/>
        <v>NO</v>
      </c>
      <c r="B104" t="str">
        <f t="shared" si="20"/>
        <v>NO</v>
      </c>
      <c r="C104" t="str">
        <f t="shared" si="15"/>
        <v>NO</v>
      </c>
      <c r="D104" t="str">
        <f t="shared" si="15"/>
        <v>NO</v>
      </c>
      <c r="E104" t="str">
        <f t="shared" si="15"/>
        <v>NO</v>
      </c>
      <c r="F104" t="str">
        <f t="shared" si="15"/>
        <v/>
      </c>
      <c r="G104" t="str">
        <f t="shared" si="17"/>
        <v/>
      </c>
      <c r="H104" s="1196" t="str">
        <f t="shared" si="18"/>
        <v/>
      </c>
      <c r="U104" s="1196" t="str">
        <f t="shared" si="19"/>
        <v/>
      </c>
    </row>
    <row r="105" spans="1:21" x14ac:dyDescent="0.35">
      <c r="A105" t="str">
        <f t="shared" si="20"/>
        <v>NO</v>
      </c>
      <c r="B105" t="str">
        <f t="shared" si="20"/>
        <v>NO</v>
      </c>
      <c r="C105" t="str">
        <f t="shared" si="15"/>
        <v>NO</v>
      </c>
      <c r="D105" t="str">
        <f t="shared" si="15"/>
        <v>NO</v>
      </c>
      <c r="E105" t="str">
        <f t="shared" si="15"/>
        <v>NO</v>
      </c>
      <c r="F105" t="str">
        <f t="shared" si="15"/>
        <v/>
      </c>
      <c r="G105" t="str">
        <f t="shared" si="17"/>
        <v/>
      </c>
      <c r="H105" s="1196" t="str">
        <f t="shared" si="18"/>
        <v/>
      </c>
      <c r="U105" s="1196" t="str">
        <f t="shared" si="19"/>
        <v/>
      </c>
    </row>
    <row r="106" spans="1:21" x14ac:dyDescent="0.35">
      <c r="A106" t="str">
        <f t="shared" si="20"/>
        <v>NO</v>
      </c>
      <c r="B106" t="str">
        <f t="shared" si="20"/>
        <v>NO</v>
      </c>
      <c r="C106" t="str">
        <f t="shared" si="15"/>
        <v>NO</v>
      </c>
      <c r="D106" t="str">
        <f t="shared" si="15"/>
        <v>NO</v>
      </c>
      <c r="E106" t="str">
        <f t="shared" si="15"/>
        <v>NO</v>
      </c>
      <c r="F106" t="str">
        <f t="shared" si="15"/>
        <v/>
      </c>
      <c r="G106" t="str">
        <f t="shared" si="17"/>
        <v/>
      </c>
      <c r="H106" s="1196" t="str">
        <f t="shared" si="18"/>
        <v/>
      </c>
      <c r="U106" s="1196" t="str">
        <f t="shared" si="19"/>
        <v/>
      </c>
    </row>
    <row r="107" spans="1:21" x14ac:dyDescent="0.35">
      <c r="A107" t="str">
        <f t="shared" si="20"/>
        <v>NO</v>
      </c>
      <c r="B107" t="str">
        <f t="shared" si="20"/>
        <v>NO</v>
      </c>
      <c r="C107" t="str">
        <f t="shared" si="15"/>
        <v>NO</v>
      </c>
      <c r="D107" t="str">
        <f t="shared" si="15"/>
        <v>NO</v>
      </c>
      <c r="E107" t="str">
        <f t="shared" si="15"/>
        <v>NO</v>
      </c>
      <c r="F107" t="str">
        <f t="shared" si="15"/>
        <v/>
      </c>
      <c r="G107" t="str">
        <f t="shared" si="17"/>
        <v/>
      </c>
      <c r="H107" s="1196" t="str">
        <f t="shared" si="18"/>
        <v/>
      </c>
      <c r="U107" s="1196" t="str">
        <f t="shared" si="19"/>
        <v/>
      </c>
    </row>
    <row r="108" spans="1:21" x14ac:dyDescent="0.35">
      <c r="A108" t="str">
        <f t="shared" si="20"/>
        <v>NO</v>
      </c>
      <c r="B108" t="str">
        <f t="shared" si="20"/>
        <v>NO</v>
      </c>
      <c r="C108" t="str">
        <f t="shared" si="15"/>
        <v>NO</v>
      </c>
      <c r="D108" t="str">
        <f t="shared" si="15"/>
        <v>NO</v>
      </c>
      <c r="E108" t="str">
        <f t="shared" si="15"/>
        <v>NO</v>
      </c>
      <c r="F108" t="str">
        <f t="shared" si="15"/>
        <v/>
      </c>
      <c r="G108" t="str">
        <f t="shared" si="17"/>
        <v/>
      </c>
      <c r="H108" s="1196" t="str">
        <f t="shared" si="18"/>
        <v/>
      </c>
      <c r="U108" s="1196" t="str">
        <f t="shared" si="19"/>
        <v/>
      </c>
    </row>
    <row r="109" spans="1:21" x14ac:dyDescent="0.35">
      <c r="A109" t="str">
        <f t="shared" si="20"/>
        <v>NO</v>
      </c>
      <c r="B109" t="str">
        <f t="shared" si="20"/>
        <v>NO</v>
      </c>
      <c r="C109" t="str">
        <f t="shared" si="15"/>
        <v>NO</v>
      </c>
      <c r="D109" t="str">
        <f t="shared" si="15"/>
        <v>NO</v>
      </c>
      <c r="E109" t="str">
        <f t="shared" si="15"/>
        <v>NO</v>
      </c>
      <c r="F109" t="str">
        <f t="shared" si="15"/>
        <v/>
      </c>
      <c r="G109" t="str">
        <f t="shared" si="17"/>
        <v/>
      </c>
      <c r="H109" s="1196" t="str">
        <f t="shared" si="18"/>
        <v/>
      </c>
      <c r="U109" s="1196" t="str">
        <f t="shared" si="19"/>
        <v/>
      </c>
    </row>
    <row r="110" spans="1:21" x14ac:dyDescent="0.35">
      <c r="A110" t="str">
        <f t="shared" si="20"/>
        <v>NO</v>
      </c>
      <c r="B110" t="str">
        <f t="shared" si="20"/>
        <v>NO</v>
      </c>
      <c r="C110" t="str">
        <f t="shared" si="15"/>
        <v>NO</v>
      </c>
      <c r="D110" t="str">
        <f t="shared" si="15"/>
        <v>NO</v>
      </c>
      <c r="E110" t="str">
        <f t="shared" si="15"/>
        <v>NO</v>
      </c>
      <c r="F110" t="str">
        <f t="shared" si="15"/>
        <v/>
      </c>
      <c r="G110" t="str">
        <f t="shared" si="17"/>
        <v/>
      </c>
      <c r="H110" s="1196" t="str">
        <f t="shared" si="18"/>
        <v/>
      </c>
      <c r="U110" s="1196" t="str">
        <f t="shared" si="19"/>
        <v/>
      </c>
    </row>
    <row r="111" spans="1:21" x14ac:dyDescent="0.35">
      <c r="A111" t="str">
        <f t="shared" si="20"/>
        <v>NO</v>
      </c>
      <c r="B111" t="str">
        <f t="shared" si="20"/>
        <v>NO</v>
      </c>
      <c r="C111" t="str">
        <f t="shared" si="15"/>
        <v>NO</v>
      </c>
      <c r="D111" t="str">
        <f t="shared" si="15"/>
        <v>NO</v>
      </c>
      <c r="E111" t="str">
        <f t="shared" si="15"/>
        <v>NO</v>
      </c>
      <c r="F111" t="str">
        <f t="shared" si="15"/>
        <v/>
      </c>
      <c r="G111" t="str">
        <f t="shared" si="17"/>
        <v/>
      </c>
      <c r="H111" s="1196" t="str">
        <f t="shared" si="18"/>
        <v/>
      </c>
      <c r="U111" s="1196" t="str">
        <f t="shared" si="19"/>
        <v/>
      </c>
    </row>
    <row r="112" spans="1:21" x14ac:dyDescent="0.35">
      <c r="A112" t="str">
        <f t="shared" si="20"/>
        <v>NO</v>
      </c>
      <c r="B112" t="str">
        <f t="shared" si="20"/>
        <v>NO</v>
      </c>
      <c r="C112" t="str">
        <f t="shared" si="15"/>
        <v>NO</v>
      </c>
      <c r="D112" t="str">
        <f t="shared" si="15"/>
        <v>NO</v>
      </c>
      <c r="E112" t="str">
        <f t="shared" si="15"/>
        <v>NO</v>
      </c>
      <c r="F112" t="str">
        <f t="shared" si="15"/>
        <v/>
      </c>
      <c r="G112" t="str">
        <f t="shared" si="17"/>
        <v/>
      </c>
      <c r="H112" s="1196" t="str">
        <f t="shared" si="18"/>
        <v/>
      </c>
      <c r="U112" s="1196" t="str">
        <f t="shared" si="19"/>
        <v/>
      </c>
    </row>
    <row r="113" spans="1:21" x14ac:dyDescent="0.35">
      <c r="A113" t="str">
        <f t="shared" si="20"/>
        <v>NO</v>
      </c>
      <c r="B113" t="str">
        <f t="shared" si="20"/>
        <v>NO</v>
      </c>
      <c r="C113" t="str">
        <f t="shared" si="15"/>
        <v>NO</v>
      </c>
      <c r="D113" t="str">
        <f t="shared" si="15"/>
        <v>NO</v>
      </c>
      <c r="E113" t="str">
        <f t="shared" si="15"/>
        <v>NO</v>
      </c>
      <c r="F113" t="str">
        <f t="shared" si="15"/>
        <v/>
      </c>
      <c r="G113" t="str">
        <f t="shared" si="17"/>
        <v/>
      </c>
      <c r="H113" s="1196" t="str">
        <f t="shared" si="18"/>
        <v/>
      </c>
      <c r="U113" s="1196" t="str">
        <f t="shared" si="19"/>
        <v/>
      </c>
    </row>
    <row r="114" spans="1:21" x14ac:dyDescent="0.35">
      <c r="A114" t="str">
        <f t="shared" si="20"/>
        <v>NO</v>
      </c>
      <c r="B114" t="str">
        <f t="shared" si="20"/>
        <v>NO</v>
      </c>
      <c r="C114" t="str">
        <f t="shared" si="15"/>
        <v>NO</v>
      </c>
      <c r="D114" t="str">
        <f t="shared" si="15"/>
        <v>NO</v>
      </c>
      <c r="E114" t="str">
        <f t="shared" si="15"/>
        <v>NO</v>
      </c>
      <c r="F114" t="str">
        <f t="shared" si="15"/>
        <v/>
      </c>
      <c r="G114" t="str">
        <f t="shared" si="17"/>
        <v/>
      </c>
      <c r="H114" s="1196" t="str">
        <f t="shared" si="18"/>
        <v/>
      </c>
      <c r="U114" s="1196" t="str">
        <f t="shared" si="19"/>
        <v/>
      </c>
    </row>
    <row r="115" spans="1:21" x14ac:dyDescent="0.35">
      <c r="A115" t="str">
        <f t="shared" si="20"/>
        <v>NO</v>
      </c>
      <c r="B115" t="str">
        <f t="shared" si="20"/>
        <v>NO</v>
      </c>
      <c r="C115" t="str">
        <f t="shared" si="15"/>
        <v>NO</v>
      </c>
      <c r="D115" t="str">
        <f t="shared" si="15"/>
        <v>NO</v>
      </c>
      <c r="E115" t="str">
        <f t="shared" si="15"/>
        <v>NO</v>
      </c>
      <c r="F115" t="str">
        <f t="shared" si="15"/>
        <v/>
      </c>
      <c r="G115" t="str">
        <f t="shared" si="17"/>
        <v/>
      </c>
      <c r="H115" s="1196" t="str">
        <f t="shared" si="18"/>
        <v/>
      </c>
      <c r="U115" s="1196" t="str">
        <f t="shared" si="19"/>
        <v/>
      </c>
    </row>
    <row r="116" spans="1:21" x14ac:dyDescent="0.35">
      <c r="A116" t="str">
        <f t="shared" si="20"/>
        <v>NO</v>
      </c>
      <c r="B116" t="str">
        <f t="shared" si="20"/>
        <v>NO</v>
      </c>
      <c r="C116" t="str">
        <f t="shared" si="15"/>
        <v>NO</v>
      </c>
      <c r="D116" t="str">
        <f t="shared" si="15"/>
        <v>NO</v>
      </c>
      <c r="E116" t="str">
        <f t="shared" si="15"/>
        <v>NO</v>
      </c>
      <c r="F116" t="str">
        <f t="shared" si="15"/>
        <v/>
      </c>
      <c r="G116" t="str">
        <f t="shared" si="17"/>
        <v/>
      </c>
      <c r="H116" s="1196" t="str">
        <f t="shared" si="18"/>
        <v/>
      </c>
      <c r="U116" s="1196" t="str">
        <f t="shared" si="19"/>
        <v/>
      </c>
    </row>
    <row r="117" spans="1:21" x14ac:dyDescent="0.35">
      <c r="A117" t="str">
        <f t="shared" si="20"/>
        <v>NO</v>
      </c>
      <c r="B117" t="str">
        <f t="shared" si="20"/>
        <v>NO</v>
      </c>
      <c r="C117" t="str">
        <f t="shared" si="15"/>
        <v>NO</v>
      </c>
      <c r="D117" t="str">
        <f t="shared" si="15"/>
        <v>NO</v>
      </c>
      <c r="E117" t="str">
        <f t="shared" si="15"/>
        <v>NO</v>
      </c>
      <c r="F117" t="str">
        <f t="shared" si="15"/>
        <v/>
      </c>
      <c r="G117" t="str">
        <f t="shared" si="17"/>
        <v/>
      </c>
      <c r="H117" s="1196" t="str">
        <f t="shared" si="18"/>
        <v/>
      </c>
      <c r="U117" s="1196" t="str">
        <f t="shared" si="19"/>
        <v/>
      </c>
    </row>
    <row r="118" spans="1:21" x14ac:dyDescent="0.35">
      <c r="A118" t="str">
        <f t="shared" si="20"/>
        <v>NO</v>
      </c>
      <c r="B118" t="str">
        <f t="shared" si="20"/>
        <v>NO</v>
      </c>
      <c r="C118" t="str">
        <f t="shared" si="15"/>
        <v>NO</v>
      </c>
      <c r="D118" t="str">
        <f t="shared" si="15"/>
        <v>NO</v>
      </c>
      <c r="E118" t="str">
        <f t="shared" si="15"/>
        <v>NO</v>
      </c>
      <c r="F118" t="str">
        <f t="shared" si="15"/>
        <v/>
      </c>
      <c r="G118" t="str">
        <f t="shared" si="17"/>
        <v/>
      </c>
      <c r="H118" s="1196" t="str">
        <f t="shared" si="18"/>
        <v/>
      </c>
      <c r="U118" s="1196" t="str">
        <f t="shared" si="19"/>
        <v/>
      </c>
    </row>
    <row r="119" spans="1:21" x14ac:dyDescent="0.35">
      <c r="A119" t="str">
        <f t="shared" si="20"/>
        <v>NO</v>
      </c>
      <c r="B119" t="str">
        <f t="shared" si="20"/>
        <v>NO</v>
      </c>
      <c r="C119" t="str">
        <f t="shared" si="15"/>
        <v>NO</v>
      </c>
      <c r="D119" t="str">
        <f t="shared" si="15"/>
        <v>NO</v>
      </c>
      <c r="E119" t="str">
        <f t="shared" si="15"/>
        <v>NO</v>
      </c>
      <c r="F119" t="str">
        <f t="shared" si="15"/>
        <v/>
      </c>
      <c r="G119" t="str">
        <f t="shared" si="17"/>
        <v/>
      </c>
      <c r="H119" s="1196" t="str">
        <f t="shared" si="18"/>
        <v/>
      </c>
      <c r="U119" s="1196" t="str">
        <f t="shared" si="19"/>
        <v/>
      </c>
    </row>
    <row r="120" spans="1:21" x14ac:dyDescent="0.35">
      <c r="A120" t="str">
        <f t="shared" si="20"/>
        <v>NO</v>
      </c>
      <c r="B120" t="str">
        <f t="shared" si="20"/>
        <v>NO</v>
      </c>
      <c r="C120" t="str">
        <f t="shared" si="20"/>
        <v>NO</v>
      </c>
      <c r="D120" t="str">
        <f t="shared" si="20"/>
        <v>NO</v>
      </c>
      <c r="E120" t="str">
        <f t="shared" si="20"/>
        <v>NO</v>
      </c>
      <c r="F120" t="str">
        <f t="shared" si="20"/>
        <v/>
      </c>
      <c r="G120" t="str">
        <f t="shared" si="17"/>
        <v/>
      </c>
      <c r="H120" s="1196" t="str">
        <f t="shared" si="18"/>
        <v/>
      </c>
      <c r="U120" s="1196" t="str">
        <f t="shared" si="19"/>
        <v/>
      </c>
    </row>
    <row r="121" spans="1:21" x14ac:dyDescent="0.35">
      <c r="A121" t="str">
        <f t="shared" ref="A121:F152" si="21">IFERROR(IF($K121=A$2,_xlfn.CONCAT($I121,$J121),"NO"),0)</f>
        <v>NO</v>
      </c>
      <c r="B121" t="str">
        <f t="shared" si="21"/>
        <v>NO</v>
      </c>
      <c r="C121" t="str">
        <f t="shared" si="21"/>
        <v>NO</v>
      </c>
      <c r="D121" t="str">
        <f t="shared" si="21"/>
        <v>NO</v>
      </c>
      <c r="E121" t="str">
        <f t="shared" si="21"/>
        <v>NO</v>
      </c>
      <c r="F121" t="str">
        <f t="shared" si="21"/>
        <v/>
      </c>
      <c r="G121" t="str">
        <f t="shared" si="17"/>
        <v/>
      </c>
      <c r="H121" s="1196" t="str">
        <f t="shared" si="18"/>
        <v/>
      </c>
      <c r="U121" s="1196" t="str">
        <f t="shared" si="19"/>
        <v/>
      </c>
    </row>
    <row r="122" spans="1:21" x14ac:dyDescent="0.35">
      <c r="A122" t="str">
        <f t="shared" si="21"/>
        <v>NO</v>
      </c>
      <c r="B122" t="str">
        <f t="shared" si="21"/>
        <v>NO</v>
      </c>
      <c r="C122" t="str">
        <f t="shared" si="21"/>
        <v>NO</v>
      </c>
      <c r="D122" t="str">
        <f t="shared" si="21"/>
        <v>NO</v>
      </c>
      <c r="E122" t="str">
        <f t="shared" si="21"/>
        <v>NO</v>
      </c>
      <c r="F122" t="str">
        <f t="shared" si="21"/>
        <v/>
      </c>
      <c r="G122" t="str">
        <f t="shared" si="17"/>
        <v/>
      </c>
      <c r="H122" s="1196" t="str">
        <f t="shared" si="18"/>
        <v/>
      </c>
      <c r="U122" s="1196" t="str">
        <f t="shared" si="19"/>
        <v/>
      </c>
    </row>
    <row r="123" spans="1:21" x14ac:dyDescent="0.35">
      <c r="A123" t="str">
        <f t="shared" si="21"/>
        <v>NO</v>
      </c>
      <c r="B123" t="str">
        <f t="shared" si="21"/>
        <v>NO</v>
      </c>
      <c r="C123" t="str">
        <f t="shared" si="21"/>
        <v>NO</v>
      </c>
      <c r="D123" t="str">
        <f t="shared" si="21"/>
        <v>NO</v>
      </c>
      <c r="E123" t="str">
        <f t="shared" si="21"/>
        <v>NO</v>
      </c>
      <c r="F123" t="str">
        <f t="shared" si="21"/>
        <v/>
      </c>
      <c r="G123" t="str">
        <f t="shared" si="17"/>
        <v/>
      </c>
      <c r="H123" s="1196" t="str">
        <f t="shared" si="18"/>
        <v/>
      </c>
      <c r="U123" s="1196" t="str">
        <f t="shared" si="19"/>
        <v/>
      </c>
    </row>
    <row r="124" spans="1:21" x14ac:dyDescent="0.35">
      <c r="A124" t="str">
        <f t="shared" si="21"/>
        <v>NO</v>
      </c>
      <c r="B124" t="str">
        <f t="shared" si="21"/>
        <v>NO</v>
      </c>
      <c r="C124" t="str">
        <f t="shared" si="21"/>
        <v>NO</v>
      </c>
      <c r="D124" t="str">
        <f t="shared" si="21"/>
        <v>NO</v>
      </c>
      <c r="E124" t="str">
        <f t="shared" si="21"/>
        <v>NO</v>
      </c>
      <c r="F124" t="str">
        <f t="shared" si="21"/>
        <v/>
      </c>
      <c r="G124" t="str">
        <f t="shared" si="17"/>
        <v/>
      </c>
      <c r="H124" s="1196" t="str">
        <f t="shared" si="18"/>
        <v/>
      </c>
      <c r="U124" s="1196" t="str">
        <f t="shared" si="19"/>
        <v/>
      </c>
    </row>
    <row r="125" spans="1:21" x14ac:dyDescent="0.35">
      <c r="A125" t="str">
        <f t="shared" si="21"/>
        <v>NO</v>
      </c>
      <c r="B125" t="str">
        <f t="shared" si="21"/>
        <v>NO</v>
      </c>
      <c r="C125" t="str">
        <f t="shared" si="21"/>
        <v>NO</v>
      </c>
      <c r="D125" t="str">
        <f t="shared" si="21"/>
        <v>NO</v>
      </c>
      <c r="E125" t="str">
        <f t="shared" si="21"/>
        <v>NO</v>
      </c>
      <c r="F125" t="str">
        <f t="shared" si="21"/>
        <v/>
      </c>
      <c r="G125" t="str">
        <f t="shared" si="17"/>
        <v/>
      </c>
      <c r="H125" s="1196" t="str">
        <f t="shared" si="18"/>
        <v/>
      </c>
      <c r="U125" s="1196" t="str">
        <f t="shared" si="19"/>
        <v/>
      </c>
    </row>
    <row r="126" spans="1:21" x14ac:dyDescent="0.35">
      <c r="A126" t="str">
        <f t="shared" si="21"/>
        <v>NO</v>
      </c>
      <c r="B126" t="str">
        <f t="shared" si="21"/>
        <v>NO</v>
      </c>
      <c r="C126" t="str">
        <f t="shared" si="21"/>
        <v>NO</v>
      </c>
      <c r="D126" t="str">
        <f t="shared" si="21"/>
        <v>NO</v>
      </c>
      <c r="E126" t="str">
        <f t="shared" si="21"/>
        <v>NO</v>
      </c>
      <c r="F126" t="str">
        <f t="shared" si="21"/>
        <v/>
      </c>
      <c r="G126" t="str">
        <f t="shared" si="17"/>
        <v/>
      </c>
      <c r="H126" s="1196" t="str">
        <f t="shared" si="18"/>
        <v/>
      </c>
      <c r="U126" s="1196" t="str">
        <f t="shared" si="19"/>
        <v/>
      </c>
    </row>
    <row r="127" spans="1:21" x14ac:dyDescent="0.35">
      <c r="A127" t="str">
        <f t="shared" si="21"/>
        <v>NO</v>
      </c>
      <c r="B127" t="str">
        <f t="shared" si="21"/>
        <v>NO</v>
      </c>
      <c r="C127" t="str">
        <f t="shared" si="21"/>
        <v>NO</v>
      </c>
      <c r="D127" t="str">
        <f t="shared" si="21"/>
        <v>NO</v>
      </c>
      <c r="E127" t="str">
        <f t="shared" si="21"/>
        <v>NO</v>
      </c>
      <c r="F127" t="str">
        <f t="shared" si="21"/>
        <v/>
      </c>
      <c r="G127" t="str">
        <f t="shared" si="17"/>
        <v/>
      </c>
      <c r="H127" s="1196" t="str">
        <f t="shared" si="18"/>
        <v/>
      </c>
      <c r="U127" s="1196" t="str">
        <f t="shared" si="19"/>
        <v/>
      </c>
    </row>
    <row r="128" spans="1:21" x14ac:dyDescent="0.35">
      <c r="A128" t="str">
        <f t="shared" si="21"/>
        <v>NO</v>
      </c>
      <c r="B128" t="str">
        <f t="shared" si="21"/>
        <v>NO</v>
      </c>
      <c r="C128" t="str">
        <f t="shared" si="21"/>
        <v>NO</v>
      </c>
      <c r="D128" t="str">
        <f t="shared" si="21"/>
        <v>NO</v>
      </c>
      <c r="E128" t="str">
        <f t="shared" si="21"/>
        <v>NO</v>
      </c>
      <c r="F128" t="str">
        <f t="shared" si="21"/>
        <v/>
      </c>
      <c r="G128" t="str">
        <f t="shared" si="17"/>
        <v/>
      </c>
      <c r="H128" s="1196" t="str">
        <f t="shared" si="18"/>
        <v/>
      </c>
      <c r="U128" s="1196" t="str">
        <f t="shared" si="19"/>
        <v/>
      </c>
    </row>
    <row r="129" spans="1:21" x14ac:dyDescent="0.35">
      <c r="A129" t="str">
        <f t="shared" si="21"/>
        <v>NO</v>
      </c>
      <c r="B129" t="str">
        <f t="shared" si="21"/>
        <v>NO</v>
      </c>
      <c r="C129" t="str">
        <f t="shared" si="21"/>
        <v>NO</v>
      </c>
      <c r="D129" t="str">
        <f t="shared" si="21"/>
        <v>NO</v>
      </c>
      <c r="E129" t="str">
        <f t="shared" si="21"/>
        <v>NO</v>
      </c>
      <c r="F129" t="str">
        <f t="shared" si="21"/>
        <v/>
      </c>
      <c r="G129" t="str">
        <f t="shared" si="17"/>
        <v/>
      </c>
      <c r="H129" s="1196" t="str">
        <f t="shared" si="18"/>
        <v/>
      </c>
      <c r="U129" s="1196" t="str">
        <f t="shared" si="19"/>
        <v/>
      </c>
    </row>
    <row r="130" spans="1:21" x14ac:dyDescent="0.35">
      <c r="A130" t="str">
        <f t="shared" si="21"/>
        <v>NO</v>
      </c>
      <c r="B130" t="str">
        <f t="shared" si="21"/>
        <v>NO</v>
      </c>
      <c r="C130" t="str">
        <f t="shared" si="21"/>
        <v>NO</v>
      </c>
      <c r="D130" t="str">
        <f t="shared" si="21"/>
        <v>NO</v>
      </c>
      <c r="E130" t="str">
        <f t="shared" si="21"/>
        <v>NO</v>
      </c>
      <c r="F130" t="str">
        <f t="shared" si="21"/>
        <v/>
      </c>
      <c r="G130" t="str">
        <f t="shared" si="17"/>
        <v/>
      </c>
      <c r="H130" s="1196" t="str">
        <f t="shared" si="18"/>
        <v/>
      </c>
      <c r="U130" s="1196" t="str">
        <f t="shared" si="19"/>
        <v/>
      </c>
    </row>
    <row r="131" spans="1:21" x14ac:dyDescent="0.35">
      <c r="A131" t="str">
        <f t="shared" si="21"/>
        <v>NO</v>
      </c>
      <c r="B131" t="str">
        <f t="shared" si="21"/>
        <v>NO</v>
      </c>
      <c r="C131" t="str">
        <f t="shared" si="21"/>
        <v>NO</v>
      </c>
      <c r="D131" t="str">
        <f t="shared" si="21"/>
        <v>NO</v>
      </c>
      <c r="E131" t="str">
        <f t="shared" si="21"/>
        <v>NO</v>
      </c>
      <c r="F131" t="str">
        <f t="shared" si="21"/>
        <v/>
      </c>
      <c r="G131" t="str">
        <f t="shared" si="17"/>
        <v/>
      </c>
      <c r="H131" s="1196" t="str">
        <f t="shared" si="18"/>
        <v/>
      </c>
      <c r="U131" s="1196" t="str">
        <f t="shared" si="19"/>
        <v/>
      </c>
    </row>
    <row r="132" spans="1:21" x14ac:dyDescent="0.35">
      <c r="A132" t="str">
        <f t="shared" si="21"/>
        <v>NO</v>
      </c>
      <c r="B132" t="str">
        <f t="shared" si="21"/>
        <v>NO</v>
      </c>
      <c r="C132" t="str">
        <f t="shared" si="21"/>
        <v>NO</v>
      </c>
      <c r="D132" t="str">
        <f t="shared" si="21"/>
        <v>NO</v>
      </c>
      <c r="E132" t="str">
        <f t="shared" si="21"/>
        <v>NO</v>
      </c>
      <c r="F132" t="str">
        <f t="shared" si="21"/>
        <v/>
      </c>
      <c r="G132" t="str">
        <f t="shared" ref="G132:G195" si="22">IF(Q132=G131,_xlfn.CONCAT(O132,P132))</f>
        <v/>
      </c>
      <c r="H132" s="1196" t="str">
        <f t="shared" ref="H132:H195" si="23">_xlfn.CONCAT(I132,J132,)</f>
        <v/>
      </c>
      <c r="U132" s="1196" t="str">
        <f t="shared" ref="U132:U195" si="24">+IF(T132="si",_xlfn.CONCAT(S132,R132),"")</f>
        <v/>
      </c>
    </row>
    <row r="133" spans="1:21" x14ac:dyDescent="0.35">
      <c r="A133" t="str">
        <f t="shared" si="21"/>
        <v>NO</v>
      </c>
      <c r="B133" t="str">
        <f t="shared" si="21"/>
        <v>NO</v>
      </c>
      <c r="C133" t="str">
        <f t="shared" si="21"/>
        <v>NO</v>
      </c>
      <c r="D133" t="str">
        <f t="shared" si="21"/>
        <v>NO</v>
      </c>
      <c r="E133" t="str">
        <f t="shared" si="21"/>
        <v>NO</v>
      </c>
      <c r="F133" t="str">
        <f t="shared" si="21"/>
        <v/>
      </c>
      <c r="G133" t="str">
        <f t="shared" si="22"/>
        <v/>
      </c>
      <c r="H133" s="1196" t="str">
        <f t="shared" si="23"/>
        <v/>
      </c>
      <c r="U133" s="1196" t="str">
        <f t="shared" si="24"/>
        <v/>
      </c>
    </row>
    <row r="134" spans="1:21" x14ac:dyDescent="0.35">
      <c r="A134" t="str">
        <f t="shared" si="21"/>
        <v>NO</v>
      </c>
      <c r="B134" t="str">
        <f t="shared" si="21"/>
        <v>NO</v>
      </c>
      <c r="C134" t="str">
        <f t="shared" si="21"/>
        <v>NO</v>
      </c>
      <c r="D134" t="str">
        <f t="shared" si="21"/>
        <v>NO</v>
      </c>
      <c r="E134" t="str">
        <f t="shared" si="21"/>
        <v>NO</v>
      </c>
      <c r="F134" t="str">
        <f t="shared" si="21"/>
        <v/>
      </c>
      <c r="G134" t="str">
        <f t="shared" si="22"/>
        <v/>
      </c>
      <c r="H134" s="1196" t="str">
        <f t="shared" si="23"/>
        <v/>
      </c>
      <c r="U134" s="1196" t="str">
        <f t="shared" si="24"/>
        <v/>
      </c>
    </row>
    <row r="135" spans="1:21" x14ac:dyDescent="0.35">
      <c r="A135" t="str">
        <f t="shared" si="21"/>
        <v>NO</v>
      </c>
      <c r="B135" t="str">
        <f t="shared" si="21"/>
        <v>NO</v>
      </c>
      <c r="C135" t="str">
        <f t="shared" si="21"/>
        <v>NO</v>
      </c>
      <c r="D135" t="str">
        <f t="shared" si="21"/>
        <v>NO</v>
      </c>
      <c r="E135" t="str">
        <f t="shared" si="21"/>
        <v>NO</v>
      </c>
      <c r="F135" t="str">
        <f t="shared" si="21"/>
        <v/>
      </c>
      <c r="G135" t="str">
        <f t="shared" si="22"/>
        <v/>
      </c>
      <c r="H135" s="1196" t="str">
        <f t="shared" si="23"/>
        <v/>
      </c>
      <c r="U135" s="1196" t="str">
        <f t="shared" si="24"/>
        <v/>
      </c>
    </row>
    <row r="136" spans="1:21" x14ac:dyDescent="0.35">
      <c r="A136" t="str">
        <f t="shared" si="21"/>
        <v>NO</v>
      </c>
      <c r="B136" t="str">
        <f t="shared" si="21"/>
        <v>NO</v>
      </c>
      <c r="C136" t="str">
        <f t="shared" si="21"/>
        <v>NO</v>
      </c>
      <c r="D136" t="str">
        <f t="shared" si="21"/>
        <v>NO</v>
      </c>
      <c r="E136" t="str">
        <f t="shared" si="21"/>
        <v>NO</v>
      </c>
      <c r="F136" t="str">
        <f t="shared" si="21"/>
        <v/>
      </c>
      <c r="G136" t="str">
        <f t="shared" si="22"/>
        <v/>
      </c>
      <c r="H136" s="1196" t="str">
        <f t="shared" si="23"/>
        <v/>
      </c>
      <c r="U136" s="1196" t="str">
        <f t="shared" si="24"/>
        <v/>
      </c>
    </row>
    <row r="137" spans="1:21" x14ac:dyDescent="0.35">
      <c r="A137" t="str">
        <f t="shared" si="21"/>
        <v>NO</v>
      </c>
      <c r="B137" t="str">
        <f t="shared" si="21"/>
        <v>NO</v>
      </c>
      <c r="C137" t="str">
        <f t="shared" si="21"/>
        <v>NO</v>
      </c>
      <c r="D137" t="str">
        <f t="shared" si="21"/>
        <v>NO</v>
      </c>
      <c r="E137" t="str">
        <f t="shared" si="21"/>
        <v>NO</v>
      </c>
      <c r="F137" t="str">
        <f t="shared" si="21"/>
        <v/>
      </c>
      <c r="G137" t="str">
        <f t="shared" si="22"/>
        <v/>
      </c>
      <c r="H137" s="1196" t="str">
        <f t="shared" si="23"/>
        <v/>
      </c>
      <c r="U137" s="1196" t="str">
        <f t="shared" si="24"/>
        <v/>
      </c>
    </row>
    <row r="138" spans="1:21" x14ac:dyDescent="0.35">
      <c r="A138" t="str">
        <f t="shared" si="21"/>
        <v>NO</v>
      </c>
      <c r="B138" t="str">
        <f t="shared" si="21"/>
        <v>NO</v>
      </c>
      <c r="C138" t="str">
        <f t="shared" si="21"/>
        <v>NO</v>
      </c>
      <c r="D138" t="str">
        <f t="shared" si="21"/>
        <v>NO</v>
      </c>
      <c r="E138" t="str">
        <f t="shared" si="21"/>
        <v>NO</v>
      </c>
      <c r="F138" t="str">
        <f t="shared" si="21"/>
        <v/>
      </c>
      <c r="G138" t="str">
        <f t="shared" si="22"/>
        <v/>
      </c>
      <c r="H138" s="1196" t="str">
        <f t="shared" si="23"/>
        <v/>
      </c>
      <c r="U138" s="1196" t="str">
        <f t="shared" si="24"/>
        <v/>
      </c>
    </row>
    <row r="139" spans="1:21" x14ac:dyDescent="0.35">
      <c r="A139" t="str">
        <f t="shared" si="21"/>
        <v>NO</v>
      </c>
      <c r="B139" t="str">
        <f t="shared" si="21"/>
        <v>NO</v>
      </c>
      <c r="C139" t="str">
        <f t="shared" si="21"/>
        <v>NO</v>
      </c>
      <c r="D139" t="str">
        <f t="shared" si="21"/>
        <v>NO</v>
      </c>
      <c r="E139" t="str">
        <f t="shared" si="21"/>
        <v>NO</v>
      </c>
      <c r="F139" t="str">
        <f t="shared" si="21"/>
        <v/>
      </c>
      <c r="G139" t="str">
        <f t="shared" si="22"/>
        <v/>
      </c>
      <c r="H139" s="1196" t="str">
        <f t="shared" si="23"/>
        <v/>
      </c>
      <c r="U139" s="1196" t="str">
        <f t="shared" si="24"/>
        <v/>
      </c>
    </row>
    <row r="140" spans="1:21" x14ac:dyDescent="0.35">
      <c r="A140" t="str">
        <f t="shared" si="21"/>
        <v>NO</v>
      </c>
      <c r="B140" t="str">
        <f t="shared" si="21"/>
        <v>NO</v>
      </c>
      <c r="C140" t="str">
        <f t="shared" si="21"/>
        <v>NO</v>
      </c>
      <c r="D140" t="str">
        <f t="shared" si="21"/>
        <v>NO</v>
      </c>
      <c r="E140" t="str">
        <f t="shared" si="21"/>
        <v>NO</v>
      </c>
      <c r="F140" t="str">
        <f t="shared" si="21"/>
        <v/>
      </c>
      <c r="G140" t="str">
        <f t="shared" si="22"/>
        <v/>
      </c>
      <c r="H140" s="1196" t="str">
        <f t="shared" si="23"/>
        <v/>
      </c>
      <c r="U140" s="1196" t="str">
        <f t="shared" si="24"/>
        <v/>
      </c>
    </row>
    <row r="141" spans="1:21" x14ac:dyDescent="0.35">
      <c r="A141" t="str">
        <f t="shared" si="21"/>
        <v>NO</v>
      </c>
      <c r="B141" t="str">
        <f t="shared" si="21"/>
        <v>NO</v>
      </c>
      <c r="C141" t="str">
        <f t="shared" si="21"/>
        <v>NO</v>
      </c>
      <c r="D141" t="str">
        <f t="shared" si="21"/>
        <v>NO</v>
      </c>
      <c r="E141" t="str">
        <f t="shared" si="21"/>
        <v>NO</v>
      </c>
      <c r="F141" t="str">
        <f t="shared" si="21"/>
        <v/>
      </c>
      <c r="G141" t="str">
        <f t="shared" si="22"/>
        <v/>
      </c>
      <c r="H141" s="1196" t="str">
        <f t="shared" si="23"/>
        <v/>
      </c>
      <c r="U141" s="1196" t="str">
        <f t="shared" si="24"/>
        <v/>
      </c>
    </row>
    <row r="142" spans="1:21" x14ac:dyDescent="0.35">
      <c r="A142" t="str">
        <f t="shared" si="21"/>
        <v>NO</v>
      </c>
      <c r="B142" t="str">
        <f t="shared" si="21"/>
        <v>NO</v>
      </c>
      <c r="C142" t="str">
        <f t="shared" si="21"/>
        <v>NO</v>
      </c>
      <c r="D142" t="str">
        <f t="shared" si="21"/>
        <v>NO</v>
      </c>
      <c r="E142" t="str">
        <f t="shared" si="21"/>
        <v>NO</v>
      </c>
      <c r="F142" t="str">
        <f t="shared" si="21"/>
        <v/>
      </c>
      <c r="G142" t="str">
        <f t="shared" si="22"/>
        <v/>
      </c>
      <c r="H142" s="1196" t="str">
        <f t="shared" si="23"/>
        <v/>
      </c>
      <c r="U142" s="1196" t="str">
        <f t="shared" si="24"/>
        <v/>
      </c>
    </row>
    <row r="143" spans="1:21" x14ac:dyDescent="0.35">
      <c r="A143" t="str">
        <f t="shared" si="21"/>
        <v>NO</v>
      </c>
      <c r="B143" t="str">
        <f t="shared" si="21"/>
        <v>NO</v>
      </c>
      <c r="C143" t="str">
        <f t="shared" si="21"/>
        <v>NO</v>
      </c>
      <c r="D143" t="str">
        <f t="shared" si="21"/>
        <v>NO</v>
      </c>
      <c r="E143" t="str">
        <f t="shared" si="21"/>
        <v>NO</v>
      </c>
      <c r="F143" t="str">
        <f t="shared" si="21"/>
        <v/>
      </c>
      <c r="G143" t="str">
        <f t="shared" si="22"/>
        <v/>
      </c>
      <c r="H143" s="1196" t="str">
        <f t="shared" si="23"/>
        <v/>
      </c>
      <c r="U143" s="1196" t="str">
        <f t="shared" si="24"/>
        <v/>
      </c>
    </row>
    <row r="144" spans="1:21" x14ac:dyDescent="0.35">
      <c r="A144" t="str">
        <f t="shared" si="21"/>
        <v>NO</v>
      </c>
      <c r="B144" t="str">
        <f t="shared" si="21"/>
        <v>NO</v>
      </c>
      <c r="C144" t="str">
        <f t="shared" si="21"/>
        <v>NO</v>
      </c>
      <c r="D144" t="str">
        <f t="shared" si="21"/>
        <v>NO</v>
      </c>
      <c r="E144" t="str">
        <f t="shared" si="21"/>
        <v>NO</v>
      </c>
      <c r="F144" t="str">
        <f t="shared" si="21"/>
        <v/>
      </c>
      <c r="G144" t="str">
        <f t="shared" si="22"/>
        <v/>
      </c>
      <c r="H144" s="1196" t="str">
        <f t="shared" si="23"/>
        <v/>
      </c>
      <c r="U144" s="1196" t="str">
        <f t="shared" si="24"/>
        <v/>
      </c>
    </row>
    <row r="145" spans="1:21" x14ac:dyDescent="0.35">
      <c r="A145" t="str">
        <f t="shared" si="21"/>
        <v>NO</v>
      </c>
      <c r="B145" t="str">
        <f t="shared" si="21"/>
        <v>NO</v>
      </c>
      <c r="C145" t="str">
        <f t="shared" si="21"/>
        <v>NO</v>
      </c>
      <c r="D145" t="str">
        <f t="shared" si="21"/>
        <v>NO</v>
      </c>
      <c r="E145" t="str">
        <f t="shared" si="21"/>
        <v>NO</v>
      </c>
      <c r="F145" t="str">
        <f t="shared" si="21"/>
        <v/>
      </c>
      <c r="G145" t="str">
        <f t="shared" si="22"/>
        <v/>
      </c>
      <c r="H145" s="1196" t="str">
        <f t="shared" si="23"/>
        <v/>
      </c>
      <c r="U145" s="1196" t="str">
        <f t="shared" si="24"/>
        <v/>
      </c>
    </row>
    <row r="146" spans="1:21" x14ac:dyDescent="0.35">
      <c r="A146" t="str">
        <f t="shared" si="21"/>
        <v>NO</v>
      </c>
      <c r="B146" t="str">
        <f t="shared" si="21"/>
        <v>NO</v>
      </c>
      <c r="C146" t="str">
        <f t="shared" si="21"/>
        <v>NO</v>
      </c>
      <c r="D146" t="str">
        <f t="shared" si="21"/>
        <v>NO</v>
      </c>
      <c r="E146" t="str">
        <f t="shared" si="21"/>
        <v>NO</v>
      </c>
      <c r="F146" t="str">
        <f t="shared" si="21"/>
        <v/>
      </c>
      <c r="G146" t="str">
        <f t="shared" si="22"/>
        <v/>
      </c>
      <c r="H146" s="1196" t="str">
        <f t="shared" si="23"/>
        <v/>
      </c>
      <c r="U146" s="1196" t="str">
        <f t="shared" si="24"/>
        <v/>
      </c>
    </row>
    <row r="147" spans="1:21" x14ac:dyDescent="0.35">
      <c r="A147" t="str">
        <f t="shared" si="21"/>
        <v>NO</v>
      </c>
      <c r="B147" t="str">
        <f t="shared" si="21"/>
        <v>NO</v>
      </c>
      <c r="C147" t="str">
        <f t="shared" si="21"/>
        <v>NO</v>
      </c>
      <c r="D147" t="str">
        <f t="shared" si="21"/>
        <v>NO</v>
      </c>
      <c r="E147" t="str">
        <f t="shared" si="21"/>
        <v>NO</v>
      </c>
      <c r="F147" t="str">
        <f t="shared" si="21"/>
        <v/>
      </c>
      <c r="G147" t="str">
        <f t="shared" si="22"/>
        <v/>
      </c>
      <c r="H147" s="1196" t="str">
        <f t="shared" si="23"/>
        <v/>
      </c>
      <c r="U147" s="1196" t="str">
        <f t="shared" si="24"/>
        <v/>
      </c>
    </row>
    <row r="148" spans="1:21" x14ac:dyDescent="0.35">
      <c r="A148" t="str">
        <f t="shared" si="21"/>
        <v>NO</v>
      </c>
      <c r="B148" t="str">
        <f t="shared" si="21"/>
        <v>NO</v>
      </c>
      <c r="C148" t="str">
        <f t="shared" si="21"/>
        <v>NO</v>
      </c>
      <c r="D148" t="str">
        <f t="shared" si="21"/>
        <v>NO</v>
      </c>
      <c r="E148" t="str">
        <f t="shared" si="21"/>
        <v>NO</v>
      </c>
      <c r="F148" t="str">
        <f t="shared" si="21"/>
        <v/>
      </c>
      <c r="G148" t="str">
        <f t="shared" si="22"/>
        <v/>
      </c>
      <c r="H148" s="1196" t="str">
        <f t="shared" si="23"/>
        <v/>
      </c>
      <c r="U148" s="1196" t="str">
        <f t="shared" si="24"/>
        <v/>
      </c>
    </row>
    <row r="149" spans="1:21" x14ac:dyDescent="0.35">
      <c r="A149" t="str">
        <f t="shared" si="21"/>
        <v>NO</v>
      </c>
      <c r="B149" t="str">
        <f t="shared" si="21"/>
        <v>NO</v>
      </c>
      <c r="C149" t="str">
        <f t="shared" si="21"/>
        <v>NO</v>
      </c>
      <c r="D149" t="str">
        <f t="shared" si="21"/>
        <v>NO</v>
      </c>
      <c r="E149" t="str">
        <f t="shared" si="21"/>
        <v>NO</v>
      </c>
      <c r="F149" t="str">
        <f t="shared" si="21"/>
        <v/>
      </c>
      <c r="G149" t="str">
        <f t="shared" si="22"/>
        <v/>
      </c>
      <c r="H149" s="1196" t="str">
        <f t="shared" si="23"/>
        <v/>
      </c>
      <c r="U149" s="1196" t="str">
        <f t="shared" si="24"/>
        <v/>
      </c>
    </row>
    <row r="150" spans="1:21" x14ac:dyDescent="0.35">
      <c r="A150" t="str">
        <f t="shared" si="21"/>
        <v>NO</v>
      </c>
      <c r="B150" t="str">
        <f t="shared" si="21"/>
        <v>NO</v>
      </c>
      <c r="C150" t="str">
        <f t="shared" si="21"/>
        <v>NO</v>
      </c>
      <c r="D150" t="str">
        <f t="shared" si="21"/>
        <v>NO</v>
      </c>
      <c r="E150" t="str">
        <f t="shared" si="21"/>
        <v>NO</v>
      </c>
      <c r="F150" t="str">
        <f t="shared" si="21"/>
        <v/>
      </c>
      <c r="G150" t="str">
        <f t="shared" si="22"/>
        <v/>
      </c>
      <c r="H150" s="1196" t="str">
        <f t="shared" si="23"/>
        <v/>
      </c>
      <c r="U150" s="1196" t="str">
        <f t="shared" si="24"/>
        <v/>
      </c>
    </row>
    <row r="151" spans="1:21" x14ac:dyDescent="0.35">
      <c r="A151" t="str">
        <f t="shared" si="21"/>
        <v>NO</v>
      </c>
      <c r="B151" t="str">
        <f t="shared" si="21"/>
        <v>NO</v>
      </c>
      <c r="C151" t="str">
        <f t="shared" si="21"/>
        <v>NO</v>
      </c>
      <c r="D151" t="str">
        <f t="shared" si="21"/>
        <v>NO</v>
      </c>
      <c r="E151" t="str">
        <f t="shared" si="21"/>
        <v>NO</v>
      </c>
      <c r="F151" t="str">
        <f t="shared" si="21"/>
        <v/>
      </c>
      <c r="G151" t="str">
        <f t="shared" si="22"/>
        <v/>
      </c>
      <c r="H151" s="1196" t="str">
        <f t="shared" si="23"/>
        <v/>
      </c>
      <c r="U151" s="1196" t="str">
        <f t="shared" si="24"/>
        <v/>
      </c>
    </row>
    <row r="152" spans="1:21" x14ac:dyDescent="0.35">
      <c r="A152" t="str">
        <f t="shared" si="21"/>
        <v>NO</v>
      </c>
      <c r="B152" t="str">
        <f t="shared" si="21"/>
        <v>NO</v>
      </c>
      <c r="C152" t="str">
        <f t="shared" si="21"/>
        <v>NO</v>
      </c>
      <c r="D152" t="str">
        <f t="shared" si="21"/>
        <v>NO</v>
      </c>
      <c r="E152" t="str">
        <f t="shared" si="21"/>
        <v>NO</v>
      </c>
      <c r="F152" t="str">
        <f t="shared" si="21"/>
        <v/>
      </c>
      <c r="G152" t="str">
        <f t="shared" si="22"/>
        <v/>
      </c>
      <c r="H152" s="1196" t="str">
        <f t="shared" si="23"/>
        <v/>
      </c>
      <c r="U152" s="1196" t="str">
        <f t="shared" si="24"/>
        <v/>
      </c>
    </row>
    <row r="153" spans="1:21" x14ac:dyDescent="0.35">
      <c r="A153" t="str">
        <f t="shared" ref="A153:F184" si="25">IFERROR(IF($K153=A$2,_xlfn.CONCAT($I153,$J153),"NO"),0)</f>
        <v>NO</v>
      </c>
      <c r="B153" t="str">
        <f t="shared" si="25"/>
        <v>NO</v>
      </c>
      <c r="C153" t="str">
        <f t="shared" si="25"/>
        <v>NO</v>
      </c>
      <c r="D153" t="str">
        <f t="shared" si="25"/>
        <v>NO</v>
      </c>
      <c r="E153" t="str">
        <f t="shared" si="25"/>
        <v>NO</v>
      </c>
      <c r="F153" t="str">
        <f t="shared" si="25"/>
        <v/>
      </c>
      <c r="G153" t="str">
        <f t="shared" si="22"/>
        <v/>
      </c>
      <c r="H153" s="1196" t="str">
        <f t="shared" si="23"/>
        <v/>
      </c>
      <c r="U153" s="1196" t="str">
        <f t="shared" si="24"/>
        <v/>
      </c>
    </row>
    <row r="154" spans="1:21" x14ac:dyDescent="0.35">
      <c r="A154" t="str">
        <f t="shared" si="25"/>
        <v>NO</v>
      </c>
      <c r="B154" t="str">
        <f t="shared" si="25"/>
        <v>NO</v>
      </c>
      <c r="C154" t="str">
        <f t="shared" si="25"/>
        <v>NO</v>
      </c>
      <c r="D154" t="str">
        <f t="shared" si="25"/>
        <v>NO</v>
      </c>
      <c r="E154" t="str">
        <f t="shared" si="25"/>
        <v>NO</v>
      </c>
      <c r="F154" t="str">
        <f t="shared" si="25"/>
        <v/>
      </c>
      <c r="G154" t="str">
        <f t="shared" si="22"/>
        <v/>
      </c>
      <c r="H154" s="1196" t="str">
        <f t="shared" si="23"/>
        <v/>
      </c>
      <c r="U154" s="1196" t="str">
        <f t="shared" si="24"/>
        <v/>
      </c>
    </row>
    <row r="155" spans="1:21" x14ac:dyDescent="0.35">
      <c r="A155" t="str">
        <f t="shared" si="25"/>
        <v>NO</v>
      </c>
      <c r="B155" t="str">
        <f t="shared" si="25"/>
        <v>NO</v>
      </c>
      <c r="C155" t="str">
        <f t="shared" si="25"/>
        <v>NO</v>
      </c>
      <c r="D155" t="str">
        <f t="shared" si="25"/>
        <v>NO</v>
      </c>
      <c r="E155" t="str">
        <f t="shared" si="25"/>
        <v>NO</v>
      </c>
      <c r="F155" t="str">
        <f t="shared" si="25"/>
        <v/>
      </c>
      <c r="G155" t="str">
        <f t="shared" si="22"/>
        <v/>
      </c>
      <c r="H155" s="1196" t="str">
        <f t="shared" si="23"/>
        <v/>
      </c>
      <c r="U155" s="1196" t="str">
        <f t="shared" si="24"/>
        <v/>
      </c>
    </row>
    <row r="156" spans="1:21" x14ac:dyDescent="0.35">
      <c r="A156" t="str">
        <f t="shared" si="25"/>
        <v>NO</v>
      </c>
      <c r="B156" t="str">
        <f t="shared" si="25"/>
        <v>NO</v>
      </c>
      <c r="C156" t="str">
        <f t="shared" si="25"/>
        <v>NO</v>
      </c>
      <c r="D156" t="str">
        <f t="shared" si="25"/>
        <v>NO</v>
      </c>
      <c r="E156" t="str">
        <f t="shared" si="25"/>
        <v>NO</v>
      </c>
      <c r="F156" t="str">
        <f t="shared" si="25"/>
        <v/>
      </c>
      <c r="G156" t="str">
        <f t="shared" si="22"/>
        <v/>
      </c>
      <c r="H156" s="1196" t="str">
        <f t="shared" si="23"/>
        <v/>
      </c>
      <c r="U156" s="1196" t="str">
        <f t="shared" si="24"/>
        <v/>
      </c>
    </row>
    <row r="157" spans="1:21" x14ac:dyDescent="0.35">
      <c r="A157" t="str">
        <f t="shared" si="25"/>
        <v>NO</v>
      </c>
      <c r="B157" t="str">
        <f t="shared" si="25"/>
        <v>NO</v>
      </c>
      <c r="C157" t="str">
        <f t="shared" si="25"/>
        <v>NO</v>
      </c>
      <c r="D157" t="str">
        <f t="shared" si="25"/>
        <v>NO</v>
      </c>
      <c r="E157" t="str">
        <f t="shared" si="25"/>
        <v>NO</v>
      </c>
      <c r="F157" t="str">
        <f t="shared" si="25"/>
        <v/>
      </c>
      <c r="G157" t="str">
        <f t="shared" si="22"/>
        <v/>
      </c>
      <c r="H157" s="1196" t="str">
        <f t="shared" si="23"/>
        <v/>
      </c>
      <c r="U157" s="1196" t="str">
        <f t="shared" si="24"/>
        <v/>
      </c>
    </row>
    <row r="158" spans="1:21" x14ac:dyDescent="0.35">
      <c r="A158" t="str">
        <f t="shared" si="25"/>
        <v>NO</v>
      </c>
      <c r="B158" t="str">
        <f t="shared" si="25"/>
        <v>NO</v>
      </c>
      <c r="C158" t="str">
        <f t="shared" si="25"/>
        <v>NO</v>
      </c>
      <c r="D158" t="str">
        <f t="shared" si="25"/>
        <v>NO</v>
      </c>
      <c r="E158" t="str">
        <f t="shared" si="25"/>
        <v>NO</v>
      </c>
      <c r="F158" t="str">
        <f t="shared" si="25"/>
        <v/>
      </c>
      <c r="G158" t="str">
        <f t="shared" si="22"/>
        <v/>
      </c>
      <c r="H158" s="1196" t="str">
        <f t="shared" si="23"/>
        <v/>
      </c>
      <c r="U158" s="1196" t="str">
        <f t="shared" si="24"/>
        <v/>
      </c>
    </row>
    <row r="159" spans="1:21" x14ac:dyDescent="0.35">
      <c r="A159" t="str">
        <f t="shared" si="25"/>
        <v>NO</v>
      </c>
      <c r="B159" t="str">
        <f t="shared" si="25"/>
        <v>NO</v>
      </c>
      <c r="C159" t="str">
        <f t="shared" si="25"/>
        <v>NO</v>
      </c>
      <c r="D159" t="str">
        <f t="shared" si="25"/>
        <v>NO</v>
      </c>
      <c r="E159" t="str">
        <f t="shared" si="25"/>
        <v>NO</v>
      </c>
      <c r="F159" t="str">
        <f t="shared" si="25"/>
        <v/>
      </c>
      <c r="G159" t="str">
        <f t="shared" si="22"/>
        <v/>
      </c>
      <c r="H159" s="1196" t="str">
        <f t="shared" si="23"/>
        <v/>
      </c>
      <c r="U159" s="1196" t="str">
        <f t="shared" si="24"/>
        <v/>
      </c>
    </row>
    <row r="160" spans="1:21" x14ac:dyDescent="0.35">
      <c r="A160" t="str">
        <f t="shared" si="25"/>
        <v>NO</v>
      </c>
      <c r="B160" t="str">
        <f t="shared" si="25"/>
        <v>NO</v>
      </c>
      <c r="C160" t="str">
        <f t="shared" si="25"/>
        <v>NO</v>
      </c>
      <c r="D160" t="str">
        <f t="shared" si="25"/>
        <v>NO</v>
      </c>
      <c r="E160" t="str">
        <f t="shared" si="25"/>
        <v>NO</v>
      </c>
      <c r="F160" t="str">
        <f t="shared" si="25"/>
        <v/>
      </c>
      <c r="G160" t="str">
        <f t="shared" si="22"/>
        <v/>
      </c>
      <c r="H160" s="1196" t="str">
        <f t="shared" si="23"/>
        <v/>
      </c>
      <c r="U160" s="1196" t="str">
        <f t="shared" si="24"/>
        <v/>
      </c>
    </row>
    <row r="161" spans="1:21" x14ac:dyDescent="0.35">
      <c r="A161" t="str">
        <f t="shared" si="25"/>
        <v>NO</v>
      </c>
      <c r="B161" t="str">
        <f t="shared" si="25"/>
        <v>NO</v>
      </c>
      <c r="C161" t="str">
        <f t="shared" si="25"/>
        <v>NO</v>
      </c>
      <c r="D161" t="str">
        <f t="shared" si="25"/>
        <v>NO</v>
      </c>
      <c r="E161" t="str">
        <f t="shared" si="25"/>
        <v>NO</v>
      </c>
      <c r="F161" t="str">
        <f t="shared" si="25"/>
        <v/>
      </c>
      <c r="G161" t="str">
        <f t="shared" si="22"/>
        <v/>
      </c>
      <c r="H161" s="1196" t="str">
        <f t="shared" si="23"/>
        <v/>
      </c>
      <c r="U161" s="1196" t="str">
        <f t="shared" si="24"/>
        <v/>
      </c>
    </row>
    <row r="162" spans="1:21" x14ac:dyDescent="0.35">
      <c r="A162" t="str">
        <f t="shared" si="25"/>
        <v>NO</v>
      </c>
      <c r="B162" t="str">
        <f t="shared" si="25"/>
        <v>NO</v>
      </c>
      <c r="C162" t="str">
        <f t="shared" si="25"/>
        <v>NO</v>
      </c>
      <c r="D162" t="str">
        <f t="shared" si="25"/>
        <v>NO</v>
      </c>
      <c r="E162" t="str">
        <f t="shared" si="25"/>
        <v>NO</v>
      </c>
      <c r="F162" t="str">
        <f t="shared" si="25"/>
        <v/>
      </c>
      <c r="G162" t="str">
        <f t="shared" si="22"/>
        <v/>
      </c>
      <c r="H162" s="1196" t="str">
        <f t="shared" si="23"/>
        <v/>
      </c>
      <c r="U162" s="1196" t="str">
        <f t="shared" si="24"/>
        <v/>
      </c>
    </row>
    <row r="163" spans="1:21" x14ac:dyDescent="0.35">
      <c r="A163" t="str">
        <f t="shared" si="25"/>
        <v>NO</v>
      </c>
      <c r="B163" t="str">
        <f t="shared" si="25"/>
        <v>NO</v>
      </c>
      <c r="C163" t="str">
        <f t="shared" si="25"/>
        <v>NO</v>
      </c>
      <c r="D163" t="str">
        <f t="shared" si="25"/>
        <v>NO</v>
      </c>
      <c r="E163" t="str">
        <f t="shared" si="25"/>
        <v>NO</v>
      </c>
      <c r="F163" t="str">
        <f t="shared" si="25"/>
        <v/>
      </c>
      <c r="G163" t="str">
        <f t="shared" si="22"/>
        <v/>
      </c>
      <c r="H163" s="1196" t="str">
        <f t="shared" si="23"/>
        <v/>
      </c>
      <c r="U163" s="1196" t="str">
        <f t="shared" si="24"/>
        <v/>
      </c>
    </row>
    <row r="164" spans="1:21" x14ac:dyDescent="0.35">
      <c r="A164" t="str">
        <f t="shared" si="25"/>
        <v>NO</v>
      </c>
      <c r="B164" t="str">
        <f t="shared" si="25"/>
        <v>NO</v>
      </c>
      <c r="C164" t="str">
        <f t="shared" si="25"/>
        <v>NO</v>
      </c>
      <c r="D164" t="str">
        <f t="shared" si="25"/>
        <v>NO</v>
      </c>
      <c r="E164" t="str">
        <f t="shared" si="25"/>
        <v>NO</v>
      </c>
      <c r="F164" t="str">
        <f t="shared" si="25"/>
        <v/>
      </c>
      <c r="G164" t="str">
        <f t="shared" si="22"/>
        <v/>
      </c>
      <c r="H164" s="1196" t="str">
        <f t="shared" si="23"/>
        <v/>
      </c>
      <c r="U164" s="1196" t="str">
        <f t="shared" si="24"/>
        <v/>
      </c>
    </row>
    <row r="165" spans="1:21" x14ac:dyDescent="0.35">
      <c r="A165" t="str">
        <f t="shared" si="25"/>
        <v>NO</v>
      </c>
      <c r="B165" t="str">
        <f t="shared" si="25"/>
        <v>NO</v>
      </c>
      <c r="C165" t="str">
        <f t="shared" si="25"/>
        <v>NO</v>
      </c>
      <c r="D165" t="str">
        <f t="shared" si="25"/>
        <v>NO</v>
      </c>
      <c r="E165" t="str">
        <f t="shared" si="25"/>
        <v>NO</v>
      </c>
      <c r="F165" t="str">
        <f t="shared" si="25"/>
        <v/>
      </c>
      <c r="G165" t="str">
        <f t="shared" si="22"/>
        <v/>
      </c>
      <c r="H165" s="1196" t="str">
        <f t="shared" si="23"/>
        <v/>
      </c>
      <c r="U165" s="1196" t="str">
        <f t="shared" si="24"/>
        <v/>
      </c>
    </row>
    <row r="166" spans="1:21" x14ac:dyDescent="0.35">
      <c r="A166" t="str">
        <f t="shared" si="25"/>
        <v>NO</v>
      </c>
      <c r="B166" t="str">
        <f t="shared" si="25"/>
        <v>NO</v>
      </c>
      <c r="C166" t="str">
        <f t="shared" si="25"/>
        <v>NO</v>
      </c>
      <c r="D166" t="str">
        <f t="shared" si="25"/>
        <v>NO</v>
      </c>
      <c r="E166" t="str">
        <f t="shared" si="25"/>
        <v>NO</v>
      </c>
      <c r="F166" t="str">
        <f t="shared" si="25"/>
        <v/>
      </c>
      <c r="G166" t="str">
        <f t="shared" si="22"/>
        <v/>
      </c>
      <c r="H166" s="1196" t="str">
        <f t="shared" si="23"/>
        <v/>
      </c>
      <c r="U166" s="1196" t="str">
        <f t="shared" si="24"/>
        <v/>
      </c>
    </row>
    <row r="167" spans="1:21" x14ac:dyDescent="0.35">
      <c r="A167" t="str">
        <f t="shared" si="25"/>
        <v>NO</v>
      </c>
      <c r="B167" t="str">
        <f t="shared" si="25"/>
        <v>NO</v>
      </c>
      <c r="C167" t="str">
        <f t="shared" si="25"/>
        <v>NO</v>
      </c>
      <c r="D167" t="str">
        <f t="shared" si="25"/>
        <v>NO</v>
      </c>
      <c r="E167" t="str">
        <f t="shared" si="25"/>
        <v>NO</v>
      </c>
      <c r="F167" t="str">
        <f t="shared" si="25"/>
        <v/>
      </c>
      <c r="G167" t="str">
        <f t="shared" si="22"/>
        <v/>
      </c>
      <c r="H167" s="1196" t="str">
        <f t="shared" si="23"/>
        <v/>
      </c>
      <c r="U167" s="1196" t="str">
        <f t="shared" si="24"/>
        <v/>
      </c>
    </row>
    <row r="168" spans="1:21" x14ac:dyDescent="0.35">
      <c r="A168" t="str">
        <f t="shared" si="25"/>
        <v>NO</v>
      </c>
      <c r="B168" t="str">
        <f t="shared" si="25"/>
        <v>NO</v>
      </c>
      <c r="C168" t="str">
        <f t="shared" si="25"/>
        <v>NO</v>
      </c>
      <c r="D168" t="str">
        <f t="shared" si="25"/>
        <v>NO</v>
      </c>
      <c r="E168" t="str">
        <f t="shared" si="25"/>
        <v>NO</v>
      </c>
      <c r="F168" t="str">
        <f t="shared" si="25"/>
        <v/>
      </c>
      <c r="G168" t="str">
        <f t="shared" si="22"/>
        <v/>
      </c>
      <c r="H168" s="1196" t="str">
        <f t="shared" si="23"/>
        <v/>
      </c>
      <c r="U168" s="1196" t="str">
        <f t="shared" si="24"/>
        <v/>
      </c>
    </row>
    <row r="169" spans="1:21" x14ac:dyDescent="0.35">
      <c r="A169" t="str">
        <f t="shared" si="25"/>
        <v>NO</v>
      </c>
      <c r="B169" t="str">
        <f t="shared" si="25"/>
        <v>NO</v>
      </c>
      <c r="C169" t="str">
        <f t="shared" si="25"/>
        <v>NO</v>
      </c>
      <c r="D169" t="str">
        <f t="shared" si="25"/>
        <v>NO</v>
      </c>
      <c r="E169" t="str">
        <f t="shared" si="25"/>
        <v>NO</v>
      </c>
      <c r="F169" t="str">
        <f t="shared" si="25"/>
        <v/>
      </c>
      <c r="G169" t="str">
        <f t="shared" si="22"/>
        <v/>
      </c>
      <c r="H169" s="1196" t="str">
        <f t="shared" si="23"/>
        <v/>
      </c>
      <c r="U169" s="1196" t="str">
        <f t="shared" si="24"/>
        <v/>
      </c>
    </row>
    <row r="170" spans="1:21" x14ac:dyDescent="0.35">
      <c r="A170" t="str">
        <f t="shared" si="25"/>
        <v>NO</v>
      </c>
      <c r="B170" t="str">
        <f t="shared" si="25"/>
        <v>NO</v>
      </c>
      <c r="C170" t="str">
        <f t="shared" si="25"/>
        <v>NO</v>
      </c>
      <c r="D170" t="str">
        <f t="shared" si="25"/>
        <v>NO</v>
      </c>
      <c r="E170" t="str">
        <f t="shared" si="25"/>
        <v>NO</v>
      </c>
      <c r="F170" t="str">
        <f t="shared" si="25"/>
        <v/>
      </c>
      <c r="G170" t="str">
        <f t="shared" si="22"/>
        <v/>
      </c>
      <c r="H170" s="1196" t="str">
        <f t="shared" si="23"/>
        <v/>
      </c>
      <c r="U170" s="1196" t="str">
        <f t="shared" si="24"/>
        <v/>
      </c>
    </row>
    <row r="171" spans="1:21" x14ac:dyDescent="0.35">
      <c r="A171" t="str">
        <f t="shared" si="25"/>
        <v>NO</v>
      </c>
      <c r="B171" t="str">
        <f t="shared" si="25"/>
        <v>NO</v>
      </c>
      <c r="C171" t="str">
        <f t="shared" si="25"/>
        <v>NO</v>
      </c>
      <c r="D171" t="str">
        <f t="shared" si="25"/>
        <v>NO</v>
      </c>
      <c r="E171" t="str">
        <f t="shared" si="25"/>
        <v>NO</v>
      </c>
      <c r="F171" t="str">
        <f t="shared" si="25"/>
        <v/>
      </c>
      <c r="G171" t="str">
        <f t="shared" si="22"/>
        <v/>
      </c>
      <c r="H171" s="1196" t="str">
        <f t="shared" si="23"/>
        <v/>
      </c>
      <c r="U171" s="1196" t="str">
        <f t="shared" si="24"/>
        <v/>
      </c>
    </row>
    <row r="172" spans="1:21" x14ac:dyDescent="0.35">
      <c r="A172" t="str">
        <f t="shared" si="25"/>
        <v>NO</v>
      </c>
      <c r="B172" t="str">
        <f t="shared" si="25"/>
        <v>NO</v>
      </c>
      <c r="C172" t="str">
        <f t="shared" si="25"/>
        <v>NO</v>
      </c>
      <c r="D172" t="str">
        <f t="shared" si="25"/>
        <v>NO</v>
      </c>
      <c r="E172" t="str">
        <f t="shared" si="25"/>
        <v>NO</v>
      </c>
      <c r="F172" t="str">
        <f t="shared" si="25"/>
        <v/>
      </c>
      <c r="G172" t="str">
        <f t="shared" si="22"/>
        <v/>
      </c>
      <c r="H172" s="1196" t="str">
        <f t="shared" si="23"/>
        <v/>
      </c>
      <c r="U172" s="1196" t="str">
        <f t="shared" si="24"/>
        <v/>
      </c>
    </row>
    <row r="173" spans="1:21" x14ac:dyDescent="0.35">
      <c r="A173" t="str">
        <f t="shared" si="25"/>
        <v>NO</v>
      </c>
      <c r="B173" t="str">
        <f t="shared" si="25"/>
        <v>NO</v>
      </c>
      <c r="C173" t="str">
        <f t="shared" si="25"/>
        <v>NO</v>
      </c>
      <c r="D173" t="str">
        <f t="shared" si="25"/>
        <v>NO</v>
      </c>
      <c r="E173" t="str">
        <f t="shared" si="25"/>
        <v>NO</v>
      </c>
      <c r="F173" t="str">
        <f t="shared" si="25"/>
        <v/>
      </c>
      <c r="G173" t="str">
        <f t="shared" si="22"/>
        <v/>
      </c>
      <c r="H173" s="1196" t="str">
        <f t="shared" si="23"/>
        <v/>
      </c>
      <c r="U173" s="1196" t="str">
        <f t="shared" si="24"/>
        <v/>
      </c>
    </row>
    <row r="174" spans="1:21" x14ac:dyDescent="0.35">
      <c r="A174" t="str">
        <f t="shared" si="25"/>
        <v>NO</v>
      </c>
      <c r="B174" t="str">
        <f t="shared" si="25"/>
        <v>NO</v>
      </c>
      <c r="C174" t="str">
        <f t="shared" si="25"/>
        <v>NO</v>
      </c>
      <c r="D174" t="str">
        <f t="shared" si="25"/>
        <v>NO</v>
      </c>
      <c r="E174" t="str">
        <f t="shared" si="25"/>
        <v>NO</v>
      </c>
      <c r="F174" t="str">
        <f t="shared" si="25"/>
        <v/>
      </c>
      <c r="G174" t="str">
        <f t="shared" si="22"/>
        <v/>
      </c>
      <c r="H174" s="1196" t="str">
        <f t="shared" si="23"/>
        <v/>
      </c>
      <c r="U174" s="1196" t="str">
        <f t="shared" si="24"/>
        <v/>
      </c>
    </row>
    <row r="175" spans="1:21" x14ac:dyDescent="0.35">
      <c r="A175" t="str">
        <f t="shared" si="25"/>
        <v>NO</v>
      </c>
      <c r="B175" t="str">
        <f t="shared" si="25"/>
        <v>NO</v>
      </c>
      <c r="C175" t="str">
        <f t="shared" si="25"/>
        <v>NO</v>
      </c>
      <c r="D175" t="str">
        <f t="shared" si="25"/>
        <v>NO</v>
      </c>
      <c r="E175" t="str">
        <f t="shared" si="25"/>
        <v>NO</v>
      </c>
      <c r="F175" t="str">
        <f t="shared" si="25"/>
        <v/>
      </c>
      <c r="G175" t="str">
        <f t="shared" si="22"/>
        <v/>
      </c>
      <c r="H175" s="1196" t="str">
        <f t="shared" si="23"/>
        <v/>
      </c>
      <c r="U175" s="1196" t="str">
        <f t="shared" si="24"/>
        <v/>
      </c>
    </row>
    <row r="176" spans="1:21" x14ac:dyDescent="0.35">
      <c r="A176" t="str">
        <f t="shared" si="25"/>
        <v>NO</v>
      </c>
      <c r="B176" t="str">
        <f t="shared" si="25"/>
        <v>NO</v>
      </c>
      <c r="C176" t="str">
        <f t="shared" si="25"/>
        <v>NO</v>
      </c>
      <c r="D176" t="str">
        <f t="shared" si="25"/>
        <v>NO</v>
      </c>
      <c r="E176" t="str">
        <f t="shared" si="25"/>
        <v>NO</v>
      </c>
      <c r="F176" t="str">
        <f t="shared" si="25"/>
        <v/>
      </c>
      <c r="G176" t="str">
        <f t="shared" si="22"/>
        <v/>
      </c>
      <c r="H176" s="1196" t="str">
        <f t="shared" si="23"/>
        <v/>
      </c>
      <c r="U176" s="1196" t="str">
        <f t="shared" si="24"/>
        <v/>
      </c>
    </row>
    <row r="177" spans="1:21" x14ac:dyDescent="0.35">
      <c r="A177" t="str">
        <f t="shared" si="25"/>
        <v>NO</v>
      </c>
      <c r="B177" t="str">
        <f t="shared" si="25"/>
        <v>NO</v>
      </c>
      <c r="C177" t="str">
        <f t="shared" si="25"/>
        <v>NO</v>
      </c>
      <c r="D177" t="str">
        <f t="shared" si="25"/>
        <v>NO</v>
      </c>
      <c r="E177" t="str">
        <f t="shared" si="25"/>
        <v>NO</v>
      </c>
      <c r="F177" t="str">
        <f t="shared" si="25"/>
        <v/>
      </c>
      <c r="G177" t="str">
        <f t="shared" si="22"/>
        <v/>
      </c>
      <c r="H177" s="1196" t="str">
        <f t="shared" si="23"/>
        <v/>
      </c>
      <c r="U177" s="1196" t="str">
        <f t="shared" si="24"/>
        <v/>
      </c>
    </row>
    <row r="178" spans="1:21" x14ac:dyDescent="0.35">
      <c r="A178" t="str">
        <f t="shared" si="25"/>
        <v>NO</v>
      </c>
      <c r="B178" t="str">
        <f t="shared" si="25"/>
        <v>NO</v>
      </c>
      <c r="C178" t="str">
        <f t="shared" si="25"/>
        <v>NO</v>
      </c>
      <c r="D178" t="str">
        <f t="shared" si="25"/>
        <v>NO</v>
      </c>
      <c r="E178" t="str">
        <f t="shared" si="25"/>
        <v>NO</v>
      </c>
      <c r="F178" t="str">
        <f t="shared" si="25"/>
        <v/>
      </c>
      <c r="G178" t="str">
        <f t="shared" si="22"/>
        <v/>
      </c>
      <c r="H178" s="1196" t="str">
        <f t="shared" si="23"/>
        <v/>
      </c>
      <c r="U178" s="1196" t="str">
        <f t="shared" si="24"/>
        <v/>
      </c>
    </row>
    <row r="179" spans="1:21" x14ac:dyDescent="0.35">
      <c r="A179" t="str">
        <f t="shared" si="25"/>
        <v>NO</v>
      </c>
      <c r="B179" t="str">
        <f t="shared" si="25"/>
        <v>NO</v>
      </c>
      <c r="C179" t="str">
        <f t="shared" si="25"/>
        <v>NO</v>
      </c>
      <c r="D179" t="str">
        <f t="shared" si="25"/>
        <v>NO</v>
      </c>
      <c r="E179" t="str">
        <f t="shared" si="25"/>
        <v>NO</v>
      </c>
      <c r="F179" t="str">
        <f t="shared" si="25"/>
        <v/>
      </c>
      <c r="G179" t="str">
        <f t="shared" si="22"/>
        <v/>
      </c>
      <c r="H179" s="1196" t="str">
        <f t="shared" si="23"/>
        <v/>
      </c>
      <c r="U179" s="1196" t="str">
        <f t="shared" si="24"/>
        <v/>
      </c>
    </row>
    <row r="180" spans="1:21" x14ac:dyDescent="0.35">
      <c r="A180" t="str">
        <f t="shared" si="25"/>
        <v>NO</v>
      </c>
      <c r="B180" t="str">
        <f t="shared" si="25"/>
        <v>NO</v>
      </c>
      <c r="C180" t="str">
        <f t="shared" si="25"/>
        <v>NO</v>
      </c>
      <c r="D180" t="str">
        <f t="shared" si="25"/>
        <v>NO</v>
      </c>
      <c r="E180" t="str">
        <f t="shared" si="25"/>
        <v>NO</v>
      </c>
      <c r="F180" t="str">
        <f t="shared" si="25"/>
        <v/>
      </c>
      <c r="G180" t="str">
        <f t="shared" si="22"/>
        <v/>
      </c>
      <c r="H180" s="1196" t="str">
        <f t="shared" si="23"/>
        <v/>
      </c>
      <c r="U180" s="1196" t="str">
        <f t="shared" si="24"/>
        <v/>
      </c>
    </row>
    <row r="181" spans="1:21" x14ac:dyDescent="0.35">
      <c r="A181" t="str">
        <f t="shared" si="25"/>
        <v>NO</v>
      </c>
      <c r="B181" t="str">
        <f t="shared" si="25"/>
        <v>NO</v>
      </c>
      <c r="C181" t="str">
        <f t="shared" si="25"/>
        <v>NO</v>
      </c>
      <c r="D181" t="str">
        <f t="shared" si="25"/>
        <v>NO</v>
      </c>
      <c r="E181" t="str">
        <f t="shared" si="25"/>
        <v>NO</v>
      </c>
      <c r="F181" t="str">
        <f t="shared" si="25"/>
        <v/>
      </c>
      <c r="G181" t="str">
        <f t="shared" si="22"/>
        <v/>
      </c>
      <c r="H181" s="1196" t="str">
        <f t="shared" si="23"/>
        <v/>
      </c>
      <c r="U181" s="1196" t="str">
        <f t="shared" si="24"/>
        <v/>
      </c>
    </row>
    <row r="182" spans="1:21" x14ac:dyDescent="0.35">
      <c r="A182" t="str">
        <f t="shared" si="25"/>
        <v>NO</v>
      </c>
      <c r="B182" t="str">
        <f t="shared" si="25"/>
        <v>NO</v>
      </c>
      <c r="C182" t="str">
        <f t="shared" si="25"/>
        <v>NO</v>
      </c>
      <c r="D182" t="str">
        <f t="shared" si="25"/>
        <v>NO</v>
      </c>
      <c r="E182" t="str">
        <f t="shared" si="25"/>
        <v>NO</v>
      </c>
      <c r="F182" t="str">
        <f t="shared" si="25"/>
        <v/>
      </c>
      <c r="G182" t="str">
        <f t="shared" si="22"/>
        <v/>
      </c>
      <c r="H182" s="1196" t="str">
        <f t="shared" si="23"/>
        <v/>
      </c>
      <c r="U182" s="1196" t="str">
        <f t="shared" si="24"/>
        <v/>
      </c>
    </row>
    <row r="183" spans="1:21" x14ac:dyDescent="0.35">
      <c r="A183" t="str">
        <f t="shared" si="25"/>
        <v>NO</v>
      </c>
      <c r="B183" t="str">
        <f t="shared" si="25"/>
        <v>NO</v>
      </c>
      <c r="C183" t="str">
        <f t="shared" si="25"/>
        <v>NO</v>
      </c>
      <c r="D183" t="str">
        <f t="shared" si="25"/>
        <v>NO</v>
      </c>
      <c r="E183" t="str">
        <f t="shared" si="25"/>
        <v>NO</v>
      </c>
      <c r="F183" t="str">
        <f t="shared" si="25"/>
        <v/>
      </c>
      <c r="G183" t="str">
        <f t="shared" si="22"/>
        <v/>
      </c>
      <c r="H183" s="1196" t="str">
        <f t="shared" si="23"/>
        <v/>
      </c>
      <c r="U183" s="1196" t="str">
        <f t="shared" si="24"/>
        <v/>
      </c>
    </row>
    <row r="184" spans="1:21" x14ac:dyDescent="0.35">
      <c r="A184" t="str">
        <f t="shared" si="25"/>
        <v>NO</v>
      </c>
      <c r="B184" t="str">
        <f t="shared" si="25"/>
        <v>NO</v>
      </c>
      <c r="C184" t="str">
        <f t="shared" si="25"/>
        <v>NO</v>
      </c>
      <c r="D184" t="str">
        <f t="shared" si="25"/>
        <v>NO</v>
      </c>
      <c r="E184" t="str">
        <f t="shared" si="25"/>
        <v>NO</v>
      </c>
      <c r="F184" t="str">
        <f t="shared" si="25"/>
        <v/>
      </c>
      <c r="G184" t="str">
        <f t="shared" si="22"/>
        <v/>
      </c>
      <c r="H184" s="1196" t="str">
        <f t="shared" si="23"/>
        <v/>
      </c>
      <c r="U184" s="1196" t="str">
        <f t="shared" si="24"/>
        <v/>
      </c>
    </row>
    <row r="185" spans="1:21" x14ac:dyDescent="0.35">
      <c r="A185" t="str">
        <f t="shared" ref="A185:F216" si="26">IFERROR(IF($K185=A$2,_xlfn.CONCAT($I185,$J185),"NO"),0)</f>
        <v>NO</v>
      </c>
      <c r="B185" t="str">
        <f t="shared" si="26"/>
        <v>NO</v>
      </c>
      <c r="C185" t="str">
        <f t="shared" si="26"/>
        <v>NO</v>
      </c>
      <c r="D185" t="str">
        <f t="shared" si="26"/>
        <v>NO</v>
      </c>
      <c r="E185" t="str">
        <f t="shared" si="26"/>
        <v>NO</v>
      </c>
      <c r="F185" t="str">
        <f t="shared" si="26"/>
        <v/>
      </c>
      <c r="G185" t="str">
        <f t="shared" si="22"/>
        <v/>
      </c>
      <c r="H185" s="1196" t="str">
        <f t="shared" si="23"/>
        <v/>
      </c>
      <c r="U185" s="1196" t="str">
        <f t="shared" si="24"/>
        <v/>
      </c>
    </row>
    <row r="186" spans="1:21" x14ac:dyDescent="0.35">
      <c r="A186" t="str">
        <f t="shared" si="26"/>
        <v>NO</v>
      </c>
      <c r="B186" t="str">
        <f t="shared" si="26"/>
        <v>NO</v>
      </c>
      <c r="C186" t="str">
        <f t="shared" si="26"/>
        <v>NO</v>
      </c>
      <c r="D186" t="str">
        <f t="shared" si="26"/>
        <v>NO</v>
      </c>
      <c r="E186" t="str">
        <f t="shared" si="26"/>
        <v>NO</v>
      </c>
      <c r="F186" t="str">
        <f t="shared" si="26"/>
        <v/>
      </c>
      <c r="G186" t="str">
        <f t="shared" si="22"/>
        <v/>
      </c>
      <c r="H186" s="1196" t="str">
        <f t="shared" si="23"/>
        <v/>
      </c>
      <c r="U186" s="1196" t="str">
        <f t="shared" si="24"/>
        <v/>
      </c>
    </row>
    <row r="187" spans="1:21" x14ac:dyDescent="0.35">
      <c r="A187" t="str">
        <f t="shared" si="26"/>
        <v>NO</v>
      </c>
      <c r="B187" t="str">
        <f t="shared" si="26"/>
        <v>NO</v>
      </c>
      <c r="C187" t="str">
        <f t="shared" si="26"/>
        <v>NO</v>
      </c>
      <c r="D187" t="str">
        <f t="shared" si="26"/>
        <v>NO</v>
      </c>
      <c r="E187" t="str">
        <f t="shared" si="26"/>
        <v>NO</v>
      </c>
      <c r="F187" t="str">
        <f t="shared" si="26"/>
        <v/>
      </c>
      <c r="G187" t="str">
        <f t="shared" si="22"/>
        <v/>
      </c>
      <c r="H187" s="1196" t="str">
        <f t="shared" si="23"/>
        <v/>
      </c>
      <c r="U187" s="1196" t="str">
        <f t="shared" si="24"/>
        <v/>
      </c>
    </row>
    <row r="188" spans="1:21" x14ac:dyDescent="0.35">
      <c r="A188" t="str">
        <f t="shared" si="26"/>
        <v>NO</v>
      </c>
      <c r="B188" t="str">
        <f t="shared" si="26"/>
        <v>NO</v>
      </c>
      <c r="C188" t="str">
        <f t="shared" si="26"/>
        <v>NO</v>
      </c>
      <c r="D188" t="str">
        <f t="shared" si="26"/>
        <v>NO</v>
      </c>
      <c r="E188" t="str">
        <f t="shared" si="26"/>
        <v>NO</v>
      </c>
      <c r="F188" t="str">
        <f t="shared" si="26"/>
        <v/>
      </c>
      <c r="G188" t="str">
        <f t="shared" si="22"/>
        <v/>
      </c>
      <c r="H188" s="1196" t="str">
        <f t="shared" si="23"/>
        <v/>
      </c>
      <c r="U188" s="1196" t="str">
        <f t="shared" si="24"/>
        <v/>
      </c>
    </row>
    <row r="189" spans="1:21" x14ac:dyDescent="0.35">
      <c r="A189" t="str">
        <f t="shared" si="26"/>
        <v>NO</v>
      </c>
      <c r="B189" t="str">
        <f t="shared" si="26"/>
        <v>NO</v>
      </c>
      <c r="C189" t="str">
        <f t="shared" si="26"/>
        <v>NO</v>
      </c>
      <c r="D189" t="str">
        <f t="shared" si="26"/>
        <v>NO</v>
      </c>
      <c r="E189" t="str">
        <f t="shared" si="26"/>
        <v>NO</v>
      </c>
      <c r="F189" t="str">
        <f t="shared" si="26"/>
        <v/>
      </c>
      <c r="G189" t="str">
        <f t="shared" si="22"/>
        <v/>
      </c>
      <c r="H189" s="1196" t="str">
        <f t="shared" si="23"/>
        <v/>
      </c>
      <c r="U189" s="1196" t="str">
        <f t="shared" si="24"/>
        <v/>
      </c>
    </row>
    <row r="190" spans="1:21" x14ac:dyDescent="0.35">
      <c r="A190" t="str">
        <f t="shared" si="26"/>
        <v>NO</v>
      </c>
      <c r="B190" t="str">
        <f t="shared" si="26"/>
        <v>NO</v>
      </c>
      <c r="C190" t="str">
        <f t="shared" si="26"/>
        <v>NO</v>
      </c>
      <c r="D190" t="str">
        <f t="shared" si="26"/>
        <v>NO</v>
      </c>
      <c r="E190" t="str">
        <f t="shared" si="26"/>
        <v>NO</v>
      </c>
      <c r="F190" t="str">
        <f t="shared" si="26"/>
        <v/>
      </c>
      <c r="G190" t="str">
        <f t="shared" si="22"/>
        <v/>
      </c>
      <c r="H190" s="1196" t="str">
        <f t="shared" si="23"/>
        <v/>
      </c>
      <c r="U190" s="1196" t="str">
        <f t="shared" si="24"/>
        <v/>
      </c>
    </row>
    <row r="191" spans="1:21" x14ac:dyDescent="0.35">
      <c r="A191" t="str">
        <f t="shared" si="26"/>
        <v>NO</v>
      </c>
      <c r="B191" t="str">
        <f t="shared" si="26"/>
        <v>NO</v>
      </c>
      <c r="C191" t="str">
        <f t="shared" si="26"/>
        <v>NO</v>
      </c>
      <c r="D191" t="str">
        <f t="shared" si="26"/>
        <v>NO</v>
      </c>
      <c r="E191" t="str">
        <f t="shared" si="26"/>
        <v>NO</v>
      </c>
      <c r="F191" t="str">
        <f t="shared" si="26"/>
        <v/>
      </c>
      <c r="G191" t="str">
        <f t="shared" si="22"/>
        <v/>
      </c>
      <c r="H191" s="1196" t="str">
        <f t="shared" si="23"/>
        <v/>
      </c>
      <c r="U191" s="1196" t="str">
        <f t="shared" si="24"/>
        <v/>
      </c>
    </row>
    <row r="192" spans="1:21" x14ac:dyDescent="0.35">
      <c r="A192" t="str">
        <f t="shared" si="26"/>
        <v>NO</v>
      </c>
      <c r="B192" t="str">
        <f t="shared" si="26"/>
        <v>NO</v>
      </c>
      <c r="C192" t="str">
        <f t="shared" si="26"/>
        <v>NO</v>
      </c>
      <c r="D192" t="str">
        <f t="shared" si="26"/>
        <v>NO</v>
      </c>
      <c r="E192" t="str">
        <f t="shared" si="26"/>
        <v>NO</v>
      </c>
      <c r="F192" t="str">
        <f t="shared" si="26"/>
        <v/>
      </c>
      <c r="G192" t="str">
        <f t="shared" si="22"/>
        <v/>
      </c>
      <c r="H192" s="1196" t="str">
        <f t="shared" si="23"/>
        <v/>
      </c>
      <c r="U192" s="1196" t="str">
        <f t="shared" si="24"/>
        <v/>
      </c>
    </row>
    <row r="193" spans="1:21" x14ac:dyDescent="0.35">
      <c r="A193" t="str">
        <f t="shared" si="26"/>
        <v>NO</v>
      </c>
      <c r="B193" t="str">
        <f t="shared" si="26"/>
        <v>NO</v>
      </c>
      <c r="C193" t="str">
        <f t="shared" si="26"/>
        <v>NO</v>
      </c>
      <c r="D193" t="str">
        <f t="shared" si="26"/>
        <v>NO</v>
      </c>
      <c r="E193" t="str">
        <f t="shared" si="26"/>
        <v>NO</v>
      </c>
      <c r="F193" t="str">
        <f t="shared" si="26"/>
        <v/>
      </c>
      <c r="G193" t="str">
        <f t="shared" si="22"/>
        <v/>
      </c>
      <c r="H193" s="1196" t="str">
        <f t="shared" si="23"/>
        <v/>
      </c>
      <c r="U193" s="1196" t="str">
        <f t="shared" si="24"/>
        <v/>
      </c>
    </row>
    <row r="194" spans="1:21" x14ac:dyDescent="0.35">
      <c r="A194" t="str">
        <f t="shared" si="26"/>
        <v>NO</v>
      </c>
      <c r="B194" t="str">
        <f t="shared" si="26"/>
        <v>NO</v>
      </c>
      <c r="C194" t="str">
        <f t="shared" si="26"/>
        <v>NO</v>
      </c>
      <c r="D194" t="str">
        <f t="shared" si="26"/>
        <v>NO</v>
      </c>
      <c r="E194" t="str">
        <f t="shared" si="26"/>
        <v>NO</v>
      </c>
      <c r="F194" t="str">
        <f t="shared" si="26"/>
        <v/>
      </c>
      <c r="G194" t="str">
        <f t="shared" si="22"/>
        <v/>
      </c>
      <c r="H194" s="1196" t="str">
        <f t="shared" si="23"/>
        <v/>
      </c>
      <c r="U194" s="1196" t="str">
        <f t="shared" si="24"/>
        <v/>
      </c>
    </row>
    <row r="195" spans="1:21" x14ac:dyDescent="0.35">
      <c r="A195" t="str">
        <f t="shared" si="26"/>
        <v>NO</v>
      </c>
      <c r="B195" t="str">
        <f t="shared" si="26"/>
        <v>NO</v>
      </c>
      <c r="C195" t="str">
        <f t="shared" si="26"/>
        <v>NO</v>
      </c>
      <c r="D195" t="str">
        <f t="shared" si="26"/>
        <v>NO</v>
      </c>
      <c r="E195" t="str">
        <f t="shared" si="26"/>
        <v>NO</v>
      </c>
      <c r="F195" t="str">
        <f t="shared" si="26"/>
        <v/>
      </c>
      <c r="G195" t="str">
        <f t="shared" si="22"/>
        <v/>
      </c>
      <c r="H195" s="1196" t="str">
        <f t="shared" si="23"/>
        <v/>
      </c>
      <c r="U195" s="1196" t="str">
        <f t="shared" si="24"/>
        <v/>
      </c>
    </row>
    <row r="196" spans="1:21" x14ac:dyDescent="0.35">
      <c r="A196" t="str">
        <f t="shared" si="26"/>
        <v>NO</v>
      </c>
      <c r="B196" t="str">
        <f t="shared" si="26"/>
        <v>NO</v>
      </c>
      <c r="C196" t="str">
        <f t="shared" si="26"/>
        <v>NO</v>
      </c>
      <c r="D196" t="str">
        <f t="shared" si="26"/>
        <v>NO</v>
      </c>
      <c r="E196" t="str">
        <f t="shared" si="26"/>
        <v>NO</v>
      </c>
      <c r="F196" t="str">
        <f t="shared" si="26"/>
        <v/>
      </c>
      <c r="G196" t="str">
        <f t="shared" ref="G196:G240" si="27">IF(Q196=G195,_xlfn.CONCAT(O196,P196))</f>
        <v/>
      </c>
      <c r="H196" s="1196" t="str">
        <f t="shared" ref="H196:H240" si="28">_xlfn.CONCAT(I196,J196,)</f>
        <v/>
      </c>
      <c r="U196" s="1196" t="str">
        <f t="shared" ref="U196:U240" si="29">+IF(T196="si",_xlfn.CONCAT(S196,R196),"")</f>
        <v/>
      </c>
    </row>
    <row r="197" spans="1:21" x14ac:dyDescent="0.35">
      <c r="A197" t="str">
        <f t="shared" si="26"/>
        <v>NO</v>
      </c>
      <c r="B197" t="str">
        <f t="shared" si="26"/>
        <v>NO</v>
      </c>
      <c r="C197" t="str">
        <f t="shared" si="26"/>
        <v>NO</v>
      </c>
      <c r="D197" t="str">
        <f t="shared" si="26"/>
        <v>NO</v>
      </c>
      <c r="E197" t="str">
        <f t="shared" si="26"/>
        <v>NO</v>
      </c>
      <c r="F197" t="str">
        <f t="shared" si="26"/>
        <v/>
      </c>
      <c r="G197" t="str">
        <f t="shared" si="27"/>
        <v/>
      </c>
      <c r="H197" s="1196" t="str">
        <f t="shared" si="28"/>
        <v/>
      </c>
      <c r="U197" s="1196" t="str">
        <f t="shared" si="29"/>
        <v/>
      </c>
    </row>
    <row r="198" spans="1:21" x14ac:dyDescent="0.35">
      <c r="A198" t="str">
        <f t="shared" si="26"/>
        <v>NO</v>
      </c>
      <c r="B198" t="str">
        <f t="shared" si="26"/>
        <v>NO</v>
      </c>
      <c r="C198" t="str">
        <f t="shared" si="26"/>
        <v>NO</v>
      </c>
      <c r="D198" t="str">
        <f t="shared" si="26"/>
        <v>NO</v>
      </c>
      <c r="E198" t="str">
        <f t="shared" si="26"/>
        <v>NO</v>
      </c>
      <c r="F198" t="str">
        <f t="shared" si="26"/>
        <v/>
      </c>
      <c r="G198" t="str">
        <f t="shared" si="27"/>
        <v/>
      </c>
      <c r="H198" s="1196" t="str">
        <f t="shared" si="28"/>
        <v/>
      </c>
      <c r="U198" s="1196" t="str">
        <f t="shared" si="29"/>
        <v/>
      </c>
    </row>
    <row r="199" spans="1:21" x14ac:dyDescent="0.35">
      <c r="A199" t="str">
        <f t="shared" si="26"/>
        <v>NO</v>
      </c>
      <c r="B199" t="str">
        <f t="shared" si="26"/>
        <v>NO</v>
      </c>
      <c r="C199" t="str">
        <f t="shared" si="26"/>
        <v>NO</v>
      </c>
      <c r="D199" t="str">
        <f t="shared" si="26"/>
        <v>NO</v>
      </c>
      <c r="E199" t="str">
        <f t="shared" si="26"/>
        <v>NO</v>
      </c>
      <c r="F199" t="str">
        <f t="shared" si="26"/>
        <v/>
      </c>
      <c r="G199" t="str">
        <f t="shared" si="27"/>
        <v/>
      </c>
      <c r="H199" s="1196" t="str">
        <f t="shared" si="28"/>
        <v/>
      </c>
      <c r="U199" s="1196" t="str">
        <f t="shared" si="29"/>
        <v/>
      </c>
    </row>
    <row r="200" spans="1:21" x14ac:dyDescent="0.35">
      <c r="A200" t="str">
        <f t="shared" si="26"/>
        <v>NO</v>
      </c>
      <c r="B200" t="str">
        <f t="shared" si="26"/>
        <v>NO</v>
      </c>
      <c r="C200" t="str">
        <f t="shared" si="26"/>
        <v>NO</v>
      </c>
      <c r="D200" t="str">
        <f t="shared" si="26"/>
        <v>NO</v>
      </c>
      <c r="E200" t="str">
        <f t="shared" si="26"/>
        <v>NO</v>
      </c>
      <c r="F200" t="str">
        <f t="shared" si="26"/>
        <v/>
      </c>
      <c r="G200" t="str">
        <f t="shared" si="27"/>
        <v/>
      </c>
      <c r="H200" s="1196" t="str">
        <f t="shared" si="28"/>
        <v/>
      </c>
      <c r="U200" s="1196" t="str">
        <f t="shared" si="29"/>
        <v/>
      </c>
    </row>
    <row r="201" spans="1:21" x14ac:dyDescent="0.35">
      <c r="A201" t="str">
        <f t="shared" si="26"/>
        <v>NO</v>
      </c>
      <c r="B201" t="str">
        <f t="shared" si="26"/>
        <v>NO</v>
      </c>
      <c r="C201" t="str">
        <f t="shared" si="26"/>
        <v>NO</v>
      </c>
      <c r="D201" t="str">
        <f t="shared" si="26"/>
        <v>NO</v>
      </c>
      <c r="E201" t="str">
        <f t="shared" si="26"/>
        <v>NO</v>
      </c>
      <c r="F201" t="str">
        <f t="shared" si="26"/>
        <v/>
      </c>
      <c r="G201" t="str">
        <f t="shared" si="27"/>
        <v/>
      </c>
      <c r="H201" s="1196" t="str">
        <f t="shared" si="28"/>
        <v/>
      </c>
      <c r="U201" s="1196" t="str">
        <f t="shared" si="29"/>
        <v/>
      </c>
    </row>
    <row r="202" spans="1:21" x14ac:dyDescent="0.35">
      <c r="A202" t="str">
        <f t="shared" si="26"/>
        <v>NO</v>
      </c>
      <c r="B202" t="str">
        <f t="shared" si="26"/>
        <v>NO</v>
      </c>
      <c r="C202" t="str">
        <f t="shared" si="26"/>
        <v>NO</v>
      </c>
      <c r="D202" t="str">
        <f t="shared" si="26"/>
        <v>NO</v>
      </c>
      <c r="E202" t="str">
        <f t="shared" si="26"/>
        <v>NO</v>
      </c>
      <c r="F202" t="str">
        <f t="shared" si="26"/>
        <v/>
      </c>
      <c r="G202" t="str">
        <f t="shared" si="27"/>
        <v/>
      </c>
      <c r="H202" s="1196" t="str">
        <f t="shared" si="28"/>
        <v/>
      </c>
      <c r="U202" s="1196" t="str">
        <f t="shared" si="29"/>
        <v/>
      </c>
    </row>
    <row r="203" spans="1:21" x14ac:dyDescent="0.35">
      <c r="A203" t="str">
        <f t="shared" si="26"/>
        <v>NO</v>
      </c>
      <c r="B203" t="str">
        <f t="shared" si="26"/>
        <v>NO</v>
      </c>
      <c r="C203" t="str">
        <f t="shared" si="26"/>
        <v>NO</v>
      </c>
      <c r="D203" t="str">
        <f t="shared" si="26"/>
        <v>NO</v>
      </c>
      <c r="E203" t="str">
        <f t="shared" si="26"/>
        <v>NO</v>
      </c>
      <c r="F203" t="str">
        <f t="shared" si="26"/>
        <v/>
      </c>
      <c r="G203" t="str">
        <f t="shared" si="27"/>
        <v/>
      </c>
      <c r="H203" s="1196" t="str">
        <f t="shared" si="28"/>
        <v/>
      </c>
      <c r="U203" s="1196" t="str">
        <f t="shared" si="29"/>
        <v/>
      </c>
    </row>
    <row r="204" spans="1:21" x14ac:dyDescent="0.35">
      <c r="A204" t="str">
        <f t="shared" si="26"/>
        <v>NO</v>
      </c>
      <c r="B204" t="str">
        <f t="shared" si="26"/>
        <v>NO</v>
      </c>
      <c r="C204" t="str">
        <f t="shared" si="26"/>
        <v>NO</v>
      </c>
      <c r="D204" t="str">
        <f t="shared" si="26"/>
        <v>NO</v>
      </c>
      <c r="E204" t="str">
        <f t="shared" si="26"/>
        <v>NO</v>
      </c>
      <c r="F204" t="str">
        <f t="shared" si="26"/>
        <v/>
      </c>
      <c r="G204" t="str">
        <f t="shared" si="27"/>
        <v/>
      </c>
      <c r="H204" s="1196" t="str">
        <f t="shared" si="28"/>
        <v/>
      </c>
      <c r="U204" s="1196" t="str">
        <f t="shared" si="29"/>
        <v/>
      </c>
    </row>
    <row r="205" spans="1:21" x14ac:dyDescent="0.35">
      <c r="A205" t="str">
        <f t="shared" si="26"/>
        <v>NO</v>
      </c>
      <c r="B205" t="str">
        <f t="shared" si="26"/>
        <v>NO</v>
      </c>
      <c r="C205" t="str">
        <f t="shared" si="26"/>
        <v>NO</v>
      </c>
      <c r="D205" t="str">
        <f t="shared" si="26"/>
        <v>NO</v>
      </c>
      <c r="E205" t="str">
        <f t="shared" si="26"/>
        <v>NO</v>
      </c>
      <c r="F205" t="str">
        <f t="shared" si="26"/>
        <v/>
      </c>
      <c r="G205" t="str">
        <f t="shared" si="27"/>
        <v/>
      </c>
      <c r="H205" s="1196" t="str">
        <f t="shared" si="28"/>
        <v/>
      </c>
      <c r="U205" s="1196" t="str">
        <f t="shared" si="29"/>
        <v/>
      </c>
    </row>
    <row r="206" spans="1:21" x14ac:dyDescent="0.35">
      <c r="A206" t="str">
        <f t="shared" si="26"/>
        <v>NO</v>
      </c>
      <c r="B206" t="str">
        <f t="shared" si="26"/>
        <v>NO</v>
      </c>
      <c r="C206" t="str">
        <f t="shared" si="26"/>
        <v>NO</v>
      </c>
      <c r="D206" t="str">
        <f t="shared" si="26"/>
        <v>NO</v>
      </c>
      <c r="E206" t="str">
        <f t="shared" si="26"/>
        <v>NO</v>
      </c>
      <c r="F206" t="str">
        <f t="shared" si="26"/>
        <v/>
      </c>
      <c r="G206" t="str">
        <f t="shared" si="27"/>
        <v/>
      </c>
      <c r="H206" s="1196" t="str">
        <f t="shared" si="28"/>
        <v/>
      </c>
      <c r="U206" s="1196" t="str">
        <f t="shared" si="29"/>
        <v/>
      </c>
    </row>
    <row r="207" spans="1:21" x14ac:dyDescent="0.35">
      <c r="A207" t="str">
        <f t="shared" si="26"/>
        <v>NO</v>
      </c>
      <c r="B207" t="str">
        <f t="shared" si="26"/>
        <v>NO</v>
      </c>
      <c r="C207" t="str">
        <f t="shared" si="26"/>
        <v>NO</v>
      </c>
      <c r="D207" t="str">
        <f t="shared" si="26"/>
        <v>NO</v>
      </c>
      <c r="E207" t="str">
        <f t="shared" si="26"/>
        <v>NO</v>
      </c>
      <c r="F207" t="str">
        <f t="shared" si="26"/>
        <v/>
      </c>
      <c r="G207" t="str">
        <f t="shared" si="27"/>
        <v/>
      </c>
      <c r="H207" s="1196" t="str">
        <f t="shared" si="28"/>
        <v/>
      </c>
      <c r="U207" s="1196" t="str">
        <f t="shared" si="29"/>
        <v/>
      </c>
    </row>
    <row r="208" spans="1:21" x14ac:dyDescent="0.35">
      <c r="A208" t="str">
        <f t="shared" si="26"/>
        <v>NO</v>
      </c>
      <c r="B208" t="str">
        <f t="shared" si="26"/>
        <v>NO</v>
      </c>
      <c r="C208" t="str">
        <f t="shared" si="26"/>
        <v>NO</v>
      </c>
      <c r="D208" t="str">
        <f t="shared" si="26"/>
        <v>NO</v>
      </c>
      <c r="E208" t="str">
        <f t="shared" si="26"/>
        <v>NO</v>
      </c>
      <c r="F208" t="str">
        <f t="shared" si="26"/>
        <v/>
      </c>
      <c r="G208" t="str">
        <f t="shared" si="27"/>
        <v/>
      </c>
      <c r="H208" s="1196" t="str">
        <f t="shared" si="28"/>
        <v/>
      </c>
      <c r="U208" s="1196" t="str">
        <f t="shared" si="29"/>
        <v/>
      </c>
    </row>
    <row r="209" spans="1:21" x14ac:dyDescent="0.35">
      <c r="A209" t="str">
        <f t="shared" si="26"/>
        <v>NO</v>
      </c>
      <c r="B209" t="str">
        <f t="shared" si="26"/>
        <v>NO</v>
      </c>
      <c r="C209" t="str">
        <f t="shared" si="26"/>
        <v>NO</v>
      </c>
      <c r="D209" t="str">
        <f t="shared" si="26"/>
        <v>NO</v>
      </c>
      <c r="E209" t="str">
        <f t="shared" si="26"/>
        <v>NO</v>
      </c>
      <c r="F209" t="str">
        <f t="shared" si="26"/>
        <v/>
      </c>
      <c r="G209" t="str">
        <f t="shared" si="27"/>
        <v/>
      </c>
      <c r="H209" s="1196" t="str">
        <f t="shared" si="28"/>
        <v/>
      </c>
      <c r="U209" s="1196" t="str">
        <f t="shared" si="29"/>
        <v/>
      </c>
    </row>
    <row r="210" spans="1:21" x14ac:dyDescent="0.35">
      <c r="A210" t="str">
        <f t="shared" si="26"/>
        <v>NO</v>
      </c>
      <c r="B210" t="str">
        <f t="shared" si="26"/>
        <v>NO</v>
      </c>
      <c r="C210" t="str">
        <f t="shared" si="26"/>
        <v>NO</v>
      </c>
      <c r="D210" t="str">
        <f t="shared" si="26"/>
        <v>NO</v>
      </c>
      <c r="E210" t="str">
        <f t="shared" si="26"/>
        <v>NO</v>
      </c>
      <c r="F210" t="str">
        <f t="shared" si="26"/>
        <v/>
      </c>
      <c r="G210" t="str">
        <f t="shared" si="27"/>
        <v/>
      </c>
      <c r="H210" s="1196" t="str">
        <f t="shared" si="28"/>
        <v/>
      </c>
      <c r="U210" s="1196" t="str">
        <f t="shared" si="29"/>
        <v/>
      </c>
    </row>
    <row r="211" spans="1:21" x14ac:dyDescent="0.35">
      <c r="A211" t="str">
        <f t="shared" si="26"/>
        <v>NO</v>
      </c>
      <c r="B211" t="str">
        <f t="shared" si="26"/>
        <v>NO</v>
      </c>
      <c r="C211" t="str">
        <f t="shared" si="26"/>
        <v>NO</v>
      </c>
      <c r="D211" t="str">
        <f t="shared" si="26"/>
        <v>NO</v>
      </c>
      <c r="E211" t="str">
        <f t="shared" si="26"/>
        <v>NO</v>
      </c>
      <c r="F211" t="str">
        <f t="shared" si="26"/>
        <v/>
      </c>
      <c r="G211" t="str">
        <f t="shared" si="27"/>
        <v/>
      </c>
      <c r="H211" s="1196" t="str">
        <f t="shared" si="28"/>
        <v/>
      </c>
      <c r="U211" s="1196" t="str">
        <f t="shared" si="29"/>
        <v/>
      </c>
    </row>
    <row r="212" spans="1:21" x14ac:dyDescent="0.35">
      <c r="A212" t="str">
        <f t="shared" si="26"/>
        <v>NO</v>
      </c>
      <c r="B212" t="str">
        <f t="shared" si="26"/>
        <v>NO</v>
      </c>
      <c r="C212" t="str">
        <f t="shared" si="26"/>
        <v>NO</v>
      </c>
      <c r="D212" t="str">
        <f t="shared" si="26"/>
        <v>NO</v>
      </c>
      <c r="E212" t="str">
        <f t="shared" si="26"/>
        <v>NO</v>
      </c>
      <c r="F212" t="str">
        <f t="shared" si="26"/>
        <v/>
      </c>
      <c r="G212" t="str">
        <f t="shared" si="27"/>
        <v/>
      </c>
      <c r="H212" s="1196" t="str">
        <f t="shared" si="28"/>
        <v/>
      </c>
      <c r="U212" s="1196" t="str">
        <f t="shared" si="29"/>
        <v/>
      </c>
    </row>
    <row r="213" spans="1:21" x14ac:dyDescent="0.35">
      <c r="A213" t="str">
        <f t="shared" si="26"/>
        <v>NO</v>
      </c>
      <c r="B213" t="str">
        <f t="shared" si="26"/>
        <v>NO</v>
      </c>
      <c r="C213" t="str">
        <f t="shared" si="26"/>
        <v>NO</v>
      </c>
      <c r="D213" t="str">
        <f t="shared" si="26"/>
        <v>NO</v>
      </c>
      <c r="E213" t="str">
        <f t="shared" si="26"/>
        <v>NO</v>
      </c>
      <c r="F213" t="str">
        <f t="shared" si="26"/>
        <v/>
      </c>
      <c r="G213" t="str">
        <f t="shared" si="27"/>
        <v/>
      </c>
      <c r="H213" s="1196" t="str">
        <f t="shared" si="28"/>
        <v/>
      </c>
      <c r="U213" s="1196" t="str">
        <f t="shared" si="29"/>
        <v/>
      </c>
    </row>
    <row r="214" spans="1:21" x14ac:dyDescent="0.35">
      <c r="A214" t="str">
        <f t="shared" si="26"/>
        <v>NO</v>
      </c>
      <c r="B214" t="str">
        <f t="shared" si="26"/>
        <v>NO</v>
      </c>
      <c r="C214" t="str">
        <f t="shared" si="26"/>
        <v>NO</v>
      </c>
      <c r="D214" t="str">
        <f t="shared" si="26"/>
        <v>NO</v>
      </c>
      <c r="E214" t="str">
        <f t="shared" si="26"/>
        <v>NO</v>
      </c>
      <c r="F214" t="str">
        <f t="shared" si="26"/>
        <v/>
      </c>
      <c r="G214" t="str">
        <f t="shared" si="27"/>
        <v/>
      </c>
      <c r="H214" s="1196" t="str">
        <f t="shared" si="28"/>
        <v/>
      </c>
      <c r="U214" s="1196" t="str">
        <f t="shared" si="29"/>
        <v/>
      </c>
    </row>
    <row r="215" spans="1:21" x14ac:dyDescent="0.35">
      <c r="A215" t="str">
        <f t="shared" si="26"/>
        <v>NO</v>
      </c>
      <c r="B215" t="str">
        <f t="shared" si="26"/>
        <v>NO</v>
      </c>
      <c r="C215" t="str">
        <f t="shared" si="26"/>
        <v>NO</v>
      </c>
      <c r="D215" t="str">
        <f t="shared" si="26"/>
        <v>NO</v>
      </c>
      <c r="E215" t="str">
        <f t="shared" si="26"/>
        <v>NO</v>
      </c>
      <c r="F215" t="str">
        <f t="shared" si="26"/>
        <v/>
      </c>
      <c r="G215" t="str">
        <f t="shared" si="27"/>
        <v/>
      </c>
      <c r="H215" s="1196" t="str">
        <f t="shared" si="28"/>
        <v/>
      </c>
      <c r="U215" s="1196" t="str">
        <f t="shared" si="29"/>
        <v/>
      </c>
    </row>
    <row r="216" spans="1:21" x14ac:dyDescent="0.35">
      <c r="A216" t="str">
        <f t="shared" si="26"/>
        <v>NO</v>
      </c>
      <c r="B216" t="str">
        <f t="shared" si="26"/>
        <v>NO</v>
      </c>
      <c r="C216" t="str">
        <f t="shared" si="26"/>
        <v>NO</v>
      </c>
      <c r="D216" t="str">
        <f t="shared" si="26"/>
        <v>NO</v>
      </c>
      <c r="E216" t="str">
        <f t="shared" si="26"/>
        <v>NO</v>
      </c>
      <c r="F216" t="str">
        <f t="shared" si="26"/>
        <v/>
      </c>
      <c r="G216" t="str">
        <f t="shared" si="27"/>
        <v/>
      </c>
      <c r="H216" s="1196" t="str">
        <f t="shared" si="28"/>
        <v/>
      </c>
      <c r="U216" s="1196" t="str">
        <f t="shared" si="29"/>
        <v/>
      </c>
    </row>
    <row r="217" spans="1:21" x14ac:dyDescent="0.35">
      <c r="A217" t="str">
        <f t="shared" ref="A217:F240" si="30">IFERROR(IF($K217=A$2,_xlfn.CONCAT($I217,$J217),"NO"),0)</f>
        <v>NO</v>
      </c>
      <c r="B217" t="str">
        <f t="shared" si="30"/>
        <v>NO</v>
      </c>
      <c r="C217" t="str">
        <f t="shared" si="30"/>
        <v>NO</v>
      </c>
      <c r="D217" t="str">
        <f t="shared" si="30"/>
        <v>NO</v>
      </c>
      <c r="E217" t="str">
        <f t="shared" si="30"/>
        <v>NO</v>
      </c>
      <c r="F217" t="str">
        <f t="shared" si="30"/>
        <v/>
      </c>
      <c r="G217" t="str">
        <f t="shared" si="27"/>
        <v/>
      </c>
      <c r="H217" s="1196" t="str">
        <f t="shared" si="28"/>
        <v/>
      </c>
      <c r="U217" s="1196" t="str">
        <f t="shared" si="29"/>
        <v/>
      </c>
    </row>
    <row r="218" spans="1:21" x14ac:dyDescent="0.35">
      <c r="A218" t="str">
        <f t="shared" si="30"/>
        <v>NO</v>
      </c>
      <c r="B218" t="str">
        <f t="shared" si="30"/>
        <v>NO</v>
      </c>
      <c r="C218" t="str">
        <f t="shared" si="30"/>
        <v>NO</v>
      </c>
      <c r="D218" t="str">
        <f t="shared" si="30"/>
        <v>NO</v>
      </c>
      <c r="E218" t="str">
        <f t="shared" si="30"/>
        <v>NO</v>
      </c>
      <c r="F218" t="str">
        <f t="shared" si="30"/>
        <v/>
      </c>
      <c r="G218" t="str">
        <f t="shared" si="27"/>
        <v/>
      </c>
      <c r="H218" s="1196" t="str">
        <f t="shared" si="28"/>
        <v/>
      </c>
      <c r="U218" s="1196" t="str">
        <f t="shared" si="29"/>
        <v/>
      </c>
    </row>
    <row r="219" spans="1:21" x14ac:dyDescent="0.35">
      <c r="A219" t="str">
        <f t="shared" si="30"/>
        <v>NO</v>
      </c>
      <c r="B219" t="str">
        <f t="shared" si="30"/>
        <v>NO</v>
      </c>
      <c r="C219" t="str">
        <f t="shared" si="30"/>
        <v>NO</v>
      </c>
      <c r="D219" t="str">
        <f t="shared" si="30"/>
        <v>NO</v>
      </c>
      <c r="E219" t="str">
        <f t="shared" si="30"/>
        <v>NO</v>
      </c>
      <c r="F219" t="str">
        <f t="shared" si="30"/>
        <v/>
      </c>
      <c r="G219" t="str">
        <f t="shared" si="27"/>
        <v/>
      </c>
      <c r="H219" s="1196" t="str">
        <f t="shared" si="28"/>
        <v/>
      </c>
      <c r="U219" s="1196" t="str">
        <f t="shared" si="29"/>
        <v/>
      </c>
    </row>
    <row r="220" spans="1:21" x14ac:dyDescent="0.35">
      <c r="A220" t="str">
        <f t="shared" si="30"/>
        <v>NO</v>
      </c>
      <c r="B220" t="str">
        <f t="shared" si="30"/>
        <v>NO</v>
      </c>
      <c r="C220" t="str">
        <f t="shared" si="30"/>
        <v>NO</v>
      </c>
      <c r="D220" t="str">
        <f t="shared" si="30"/>
        <v>NO</v>
      </c>
      <c r="E220" t="str">
        <f t="shared" si="30"/>
        <v>NO</v>
      </c>
      <c r="F220" t="str">
        <f t="shared" si="30"/>
        <v/>
      </c>
      <c r="G220" t="str">
        <f t="shared" si="27"/>
        <v/>
      </c>
      <c r="H220" s="1196" t="str">
        <f t="shared" si="28"/>
        <v/>
      </c>
      <c r="U220" s="1196" t="str">
        <f t="shared" si="29"/>
        <v/>
      </c>
    </row>
    <row r="221" spans="1:21" x14ac:dyDescent="0.35">
      <c r="A221" t="str">
        <f t="shared" si="30"/>
        <v>NO</v>
      </c>
      <c r="B221" t="str">
        <f t="shared" si="30"/>
        <v>NO</v>
      </c>
      <c r="C221" t="str">
        <f t="shared" si="30"/>
        <v>NO</v>
      </c>
      <c r="D221" t="str">
        <f t="shared" si="30"/>
        <v>NO</v>
      </c>
      <c r="E221" t="str">
        <f t="shared" si="30"/>
        <v>NO</v>
      </c>
      <c r="F221" t="str">
        <f t="shared" si="30"/>
        <v/>
      </c>
      <c r="G221" t="str">
        <f t="shared" si="27"/>
        <v/>
      </c>
      <c r="H221" s="1196" t="str">
        <f t="shared" si="28"/>
        <v/>
      </c>
      <c r="U221" s="1196" t="str">
        <f t="shared" si="29"/>
        <v/>
      </c>
    </row>
    <row r="222" spans="1:21" x14ac:dyDescent="0.35">
      <c r="A222" t="str">
        <f t="shared" si="30"/>
        <v>NO</v>
      </c>
      <c r="B222" t="str">
        <f t="shared" si="30"/>
        <v>NO</v>
      </c>
      <c r="C222" t="str">
        <f t="shared" si="30"/>
        <v>NO</v>
      </c>
      <c r="D222" t="str">
        <f t="shared" si="30"/>
        <v>NO</v>
      </c>
      <c r="E222" t="str">
        <f t="shared" si="30"/>
        <v>NO</v>
      </c>
      <c r="F222" t="str">
        <f t="shared" si="30"/>
        <v/>
      </c>
      <c r="G222" t="str">
        <f t="shared" si="27"/>
        <v/>
      </c>
      <c r="H222" s="1196" t="str">
        <f t="shared" si="28"/>
        <v/>
      </c>
      <c r="U222" s="1196" t="str">
        <f t="shared" si="29"/>
        <v/>
      </c>
    </row>
    <row r="223" spans="1:21" x14ac:dyDescent="0.35">
      <c r="A223" t="str">
        <f t="shared" si="30"/>
        <v>NO</v>
      </c>
      <c r="B223" t="str">
        <f t="shared" si="30"/>
        <v>NO</v>
      </c>
      <c r="C223" t="str">
        <f t="shared" si="30"/>
        <v>NO</v>
      </c>
      <c r="D223" t="str">
        <f t="shared" si="30"/>
        <v>NO</v>
      </c>
      <c r="E223" t="str">
        <f t="shared" si="30"/>
        <v>NO</v>
      </c>
      <c r="F223" t="str">
        <f t="shared" si="30"/>
        <v/>
      </c>
      <c r="G223" t="str">
        <f t="shared" si="27"/>
        <v/>
      </c>
      <c r="H223" s="1196" t="str">
        <f t="shared" si="28"/>
        <v/>
      </c>
      <c r="U223" s="1196" t="str">
        <f t="shared" si="29"/>
        <v/>
      </c>
    </row>
    <row r="224" spans="1:21" x14ac:dyDescent="0.35">
      <c r="A224" t="str">
        <f t="shared" si="30"/>
        <v>NO</v>
      </c>
      <c r="B224" t="str">
        <f t="shared" si="30"/>
        <v>NO</v>
      </c>
      <c r="C224" t="str">
        <f t="shared" si="30"/>
        <v>NO</v>
      </c>
      <c r="D224" t="str">
        <f t="shared" si="30"/>
        <v>NO</v>
      </c>
      <c r="E224" t="str">
        <f t="shared" si="30"/>
        <v>NO</v>
      </c>
      <c r="F224" t="str">
        <f t="shared" si="30"/>
        <v/>
      </c>
      <c r="G224" t="str">
        <f t="shared" si="27"/>
        <v/>
      </c>
      <c r="H224" s="1196" t="str">
        <f t="shared" si="28"/>
        <v/>
      </c>
      <c r="U224" s="1196" t="str">
        <f t="shared" si="29"/>
        <v/>
      </c>
    </row>
    <row r="225" spans="1:21" x14ac:dyDescent="0.35">
      <c r="A225" t="str">
        <f t="shared" si="30"/>
        <v>NO</v>
      </c>
      <c r="B225" t="str">
        <f t="shared" si="30"/>
        <v>NO</v>
      </c>
      <c r="C225" t="str">
        <f t="shared" si="30"/>
        <v>NO</v>
      </c>
      <c r="D225" t="str">
        <f t="shared" si="30"/>
        <v>NO</v>
      </c>
      <c r="E225" t="str">
        <f t="shared" si="30"/>
        <v>NO</v>
      </c>
      <c r="F225" t="str">
        <f t="shared" si="30"/>
        <v/>
      </c>
      <c r="G225" t="str">
        <f t="shared" si="27"/>
        <v/>
      </c>
      <c r="H225" s="1196" t="str">
        <f t="shared" si="28"/>
        <v/>
      </c>
      <c r="U225" s="1196" t="str">
        <f t="shared" si="29"/>
        <v/>
      </c>
    </row>
    <row r="226" spans="1:21" x14ac:dyDescent="0.35">
      <c r="A226" t="str">
        <f t="shared" si="30"/>
        <v>NO</v>
      </c>
      <c r="B226" t="str">
        <f t="shared" si="30"/>
        <v>NO</v>
      </c>
      <c r="C226" t="str">
        <f t="shared" si="30"/>
        <v>NO</v>
      </c>
      <c r="D226" t="str">
        <f t="shared" si="30"/>
        <v>NO</v>
      </c>
      <c r="E226" t="str">
        <f t="shared" si="30"/>
        <v>NO</v>
      </c>
      <c r="F226" t="str">
        <f t="shared" si="30"/>
        <v/>
      </c>
      <c r="G226" t="str">
        <f t="shared" si="27"/>
        <v/>
      </c>
      <c r="H226" s="1196" t="str">
        <f t="shared" si="28"/>
        <v/>
      </c>
      <c r="U226" s="1196" t="str">
        <f t="shared" si="29"/>
        <v/>
      </c>
    </row>
    <row r="227" spans="1:21" x14ac:dyDescent="0.35">
      <c r="A227" t="str">
        <f t="shared" si="30"/>
        <v>NO</v>
      </c>
      <c r="B227" t="str">
        <f t="shared" si="30"/>
        <v>NO</v>
      </c>
      <c r="C227" t="str">
        <f t="shared" si="30"/>
        <v>NO</v>
      </c>
      <c r="D227" t="str">
        <f t="shared" si="30"/>
        <v>NO</v>
      </c>
      <c r="E227" t="str">
        <f t="shared" si="30"/>
        <v>NO</v>
      </c>
      <c r="F227" t="str">
        <f t="shared" si="30"/>
        <v/>
      </c>
      <c r="G227" t="str">
        <f t="shared" si="27"/>
        <v/>
      </c>
      <c r="H227" s="1196" t="str">
        <f t="shared" si="28"/>
        <v/>
      </c>
      <c r="U227" s="1196" t="str">
        <f t="shared" si="29"/>
        <v/>
      </c>
    </row>
    <row r="228" spans="1:21" x14ac:dyDescent="0.35">
      <c r="A228" t="str">
        <f t="shared" si="30"/>
        <v>NO</v>
      </c>
      <c r="B228" t="str">
        <f t="shared" si="30"/>
        <v>NO</v>
      </c>
      <c r="C228" t="str">
        <f t="shared" si="30"/>
        <v>NO</v>
      </c>
      <c r="D228" t="str">
        <f t="shared" si="30"/>
        <v>NO</v>
      </c>
      <c r="E228" t="str">
        <f t="shared" si="30"/>
        <v>NO</v>
      </c>
      <c r="F228" t="str">
        <f t="shared" si="30"/>
        <v/>
      </c>
      <c r="G228" t="str">
        <f t="shared" si="27"/>
        <v/>
      </c>
      <c r="H228" s="1196" t="str">
        <f t="shared" si="28"/>
        <v/>
      </c>
      <c r="U228" s="1196" t="str">
        <f t="shared" si="29"/>
        <v/>
      </c>
    </row>
    <row r="229" spans="1:21" x14ac:dyDescent="0.35">
      <c r="A229" t="str">
        <f t="shared" si="30"/>
        <v>NO</v>
      </c>
      <c r="B229" t="str">
        <f t="shared" si="30"/>
        <v>NO</v>
      </c>
      <c r="C229" t="str">
        <f t="shared" si="30"/>
        <v>NO</v>
      </c>
      <c r="D229" t="str">
        <f t="shared" si="30"/>
        <v>NO</v>
      </c>
      <c r="E229" t="str">
        <f t="shared" si="30"/>
        <v>NO</v>
      </c>
      <c r="F229" t="str">
        <f t="shared" si="30"/>
        <v/>
      </c>
      <c r="G229" t="str">
        <f t="shared" si="27"/>
        <v/>
      </c>
      <c r="H229" s="1196" t="str">
        <f t="shared" si="28"/>
        <v/>
      </c>
      <c r="U229" s="1196" t="str">
        <f t="shared" si="29"/>
        <v/>
      </c>
    </row>
    <row r="230" spans="1:21" x14ac:dyDescent="0.35">
      <c r="A230" t="str">
        <f t="shared" si="30"/>
        <v>NO</v>
      </c>
      <c r="B230" t="str">
        <f t="shared" si="30"/>
        <v>NO</v>
      </c>
      <c r="C230" t="str">
        <f t="shared" si="30"/>
        <v>NO</v>
      </c>
      <c r="D230" t="str">
        <f t="shared" si="30"/>
        <v>NO</v>
      </c>
      <c r="E230" t="str">
        <f t="shared" si="30"/>
        <v>NO</v>
      </c>
      <c r="F230" t="str">
        <f t="shared" si="30"/>
        <v/>
      </c>
      <c r="G230" t="str">
        <f t="shared" si="27"/>
        <v/>
      </c>
      <c r="H230" s="1196" t="str">
        <f t="shared" si="28"/>
        <v/>
      </c>
      <c r="U230" s="1196" t="str">
        <f t="shared" si="29"/>
        <v/>
      </c>
    </row>
    <row r="231" spans="1:21" x14ac:dyDescent="0.35">
      <c r="A231" t="str">
        <f t="shared" si="30"/>
        <v>NO</v>
      </c>
      <c r="B231" t="str">
        <f t="shared" si="30"/>
        <v>NO</v>
      </c>
      <c r="C231" t="str">
        <f t="shared" si="30"/>
        <v>NO</v>
      </c>
      <c r="D231" t="str">
        <f t="shared" si="30"/>
        <v>NO</v>
      </c>
      <c r="E231" t="str">
        <f t="shared" si="30"/>
        <v>NO</v>
      </c>
      <c r="F231" t="str">
        <f t="shared" si="30"/>
        <v/>
      </c>
      <c r="G231" t="str">
        <f t="shared" si="27"/>
        <v/>
      </c>
      <c r="H231" s="1196" t="str">
        <f t="shared" si="28"/>
        <v/>
      </c>
      <c r="U231" s="1196" t="str">
        <f t="shared" si="29"/>
        <v/>
      </c>
    </row>
    <row r="232" spans="1:21" x14ac:dyDescent="0.35">
      <c r="A232" t="str">
        <f t="shared" si="30"/>
        <v>NO</v>
      </c>
      <c r="B232" t="str">
        <f t="shared" si="30"/>
        <v>NO</v>
      </c>
      <c r="C232" t="str">
        <f t="shared" si="30"/>
        <v>NO</v>
      </c>
      <c r="D232" t="str">
        <f t="shared" si="30"/>
        <v>NO</v>
      </c>
      <c r="E232" t="str">
        <f t="shared" si="30"/>
        <v>NO</v>
      </c>
      <c r="F232" t="str">
        <f t="shared" si="30"/>
        <v/>
      </c>
      <c r="G232" t="str">
        <f t="shared" si="27"/>
        <v/>
      </c>
      <c r="H232" s="1196" t="str">
        <f t="shared" si="28"/>
        <v/>
      </c>
      <c r="U232" s="1196" t="str">
        <f t="shared" si="29"/>
        <v/>
      </c>
    </row>
    <row r="233" spans="1:21" x14ac:dyDescent="0.35">
      <c r="A233" t="str">
        <f t="shared" si="30"/>
        <v>NO</v>
      </c>
      <c r="B233" t="str">
        <f t="shared" si="30"/>
        <v>NO</v>
      </c>
      <c r="C233" t="str">
        <f t="shared" si="30"/>
        <v>NO</v>
      </c>
      <c r="D233" t="str">
        <f t="shared" si="30"/>
        <v>NO</v>
      </c>
      <c r="E233" t="str">
        <f t="shared" si="30"/>
        <v>NO</v>
      </c>
      <c r="F233" t="str">
        <f t="shared" si="30"/>
        <v/>
      </c>
      <c r="G233" t="str">
        <f t="shared" si="27"/>
        <v/>
      </c>
      <c r="H233" s="1196" t="str">
        <f t="shared" si="28"/>
        <v/>
      </c>
      <c r="U233" s="1196" t="str">
        <f t="shared" si="29"/>
        <v/>
      </c>
    </row>
    <row r="234" spans="1:21" x14ac:dyDescent="0.35">
      <c r="A234" t="str">
        <f t="shared" si="30"/>
        <v>NO</v>
      </c>
      <c r="B234" t="str">
        <f t="shared" si="30"/>
        <v>NO</v>
      </c>
      <c r="C234" t="str">
        <f t="shared" si="30"/>
        <v>NO</v>
      </c>
      <c r="D234" t="str">
        <f t="shared" si="30"/>
        <v>NO</v>
      </c>
      <c r="E234" t="str">
        <f t="shared" si="30"/>
        <v>NO</v>
      </c>
      <c r="F234" t="str">
        <f t="shared" si="30"/>
        <v/>
      </c>
      <c r="G234" t="str">
        <f t="shared" si="27"/>
        <v/>
      </c>
      <c r="H234" s="1196" t="str">
        <f t="shared" si="28"/>
        <v/>
      </c>
      <c r="U234" s="1196" t="str">
        <f t="shared" si="29"/>
        <v/>
      </c>
    </row>
    <row r="235" spans="1:21" x14ac:dyDescent="0.35">
      <c r="A235" t="str">
        <f t="shared" si="30"/>
        <v>NO</v>
      </c>
      <c r="B235" t="str">
        <f t="shared" si="30"/>
        <v>NO</v>
      </c>
      <c r="C235" t="str">
        <f t="shared" si="30"/>
        <v>NO</v>
      </c>
      <c r="D235" t="str">
        <f t="shared" si="30"/>
        <v>NO</v>
      </c>
      <c r="E235" t="str">
        <f t="shared" si="30"/>
        <v>NO</v>
      </c>
      <c r="F235" t="str">
        <f t="shared" si="30"/>
        <v/>
      </c>
      <c r="G235" t="str">
        <f t="shared" si="27"/>
        <v/>
      </c>
      <c r="H235" s="1196" t="str">
        <f t="shared" si="28"/>
        <v/>
      </c>
      <c r="U235" s="1196" t="str">
        <f t="shared" si="29"/>
        <v/>
      </c>
    </row>
    <row r="236" spans="1:21" x14ac:dyDescent="0.35">
      <c r="A236" t="str">
        <f t="shared" si="30"/>
        <v>NO</v>
      </c>
      <c r="B236" t="str">
        <f t="shared" si="30"/>
        <v>NO</v>
      </c>
      <c r="C236" t="str">
        <f t="shared" si="30"/>
        <v>NO</v>
      </c>
      <c r="D236" t="str">
        <f t="shared" si="30"/>
        <v>NO</v>
      </c>
      <c r="E236" t="str">
        <f t="shared" si="30"/>
        <v>NO</v>
      </c>
      <c r="F236" t="str">
        <f t="shared" si="30"/>
        <v/>
      </c>
      <c r="G236" t="str">
        <f t="shared" si="27"/>
        <v/>
      </c>
      <c r="H236" s="1196" t="str">
        <f t="shared" si="28"/>
        <v/>
      </c>
      <c r="U236" s="1196" t="str">
        <f t="shared" si="29"/>
        <v/>
      </c>
    </row>
    <row r="237" spans="1:21" x14ac:dyDescent="0.35">
      <c r="A237" t="str">
        <f t="shared" si="30"/>
        <v>NO</v>
      </c>
      <c r="B237" t="str">
        <f t="shared" si="30"/>
        <v>NO</v>
      </c>
      <c r="C237" t="str">
        <f t="shared" si="30"/>
        <v>NO</v>
      </c>
      <c r="D237" t="str">
        <f t="shared" si="30"/>
        <v>NO</v>
      </c>
      <c r="E237" t="str">
        <f t="shared" si="30"/>
        <v>NO</v>
      </c>
      <c r="F237" t="str">
        <f t="shared" si="30"/>
        <v/>
      </c>
      <c r="G237" t="str">
        <f t="shared" si="27"/>
        <v/>
      </c>
      <c r="H237" s="1196" t="str">
        <f t="shared" si="28"/>
        <v/>
      </c>
      <c r="U237" s="1196" t="str">
        <f t="shared" si="29"/>
        <v/>
      </c>
    </row>
    <row r="238" spans="1:21" x14ac:dyDescent="0.35">
      <c r="A238" t="str">
        <f t="shared" si="30"/>
        <v>NO</v>
      </c>
      <c r="B238" t="str">
        <f t="shared" si="30"/>
        <v>NO</v>
      </c>
      <c r="C238" t="str">
        <f t="shared" si="30"/>
        <v>NO</v>
      </c>
      <c r="D238" t="str">
        <f t="shared" si="30"/>
        <v>NO</v>
      </c>
      <c r="E238" t="str">
        <f t="shared" si="30"/>
        <v>NO</v>
      </c>
      <c r="F238" t="str">
        <f t="shared" si="30"/>
        <v/>
      </c>
      <c r="G238" t="str">
        <f t="shared" si="27"/>
        <v/>
      </c>
      <c r="H238" s="1196" t="str">
        <f t="shared" si="28"/>
        <v/>
      </c>
      <c r="U238" s="1196" t="str">
        <f t="shared" si="29"/>
        <v/>
      </c>
    </row>
    <row r="239" spans="1:21" x14ac:dyDescent="0.35">
      <c r="A239" t="str">
        <f t="shared" si="30"/>
        <v>NO</v>
      </c>
      <c r="B239" t="str">
        <f t="shared" si="30"/>
        <v>NO</v>
      </c>
      <c r="C239" t="str">
        <f t="shared" si="30"/>
        <v>NO</v>
      </c>
      <c r="D239" t="str">
        <f t="shared" si="30"/>
        <v>NO</v>
      </c>
      <c r="E239" t="str">
        <f t="shared" si="30"/>
        <v>NO</v>
      </c>
      <c r="F239" t="str">
        <f t="shared" si="30"/>
        <v/>
      </c>
      <c r="G239" t="str">
        <f t="shared" si="27"/>
        <v/>
      </c>
      <c r="H239" s="1196" t="str">
        <f t="shared" si="28"/>
        <v/>
      </c>
      <c r="U239" s="1196" t="str">
        <f t="shared" si="29"/>
        <v/>
      </c>
    </row>
    <row r="240" spans="1:21" x14ac:dyDescent="0.35">
      <c r="A240" t="str">
        <f t="shared" si="30"/>
        <v>NO</v>
      </c>
      <c r="B240" t="str">
        <f t="shared" si="30"/>
        <v>NO</v>
      </c>
      <c r="C240" t="str">
        <f t="shared" si="30"/>
        <v>NO</v>
      </c>
      <c r="D240" t="str">
        <f t="shared" si="30"/>
        <v>NO</v>
      </c>
      <c r="E240" t="str">
        <f t="shared" si="30"/>
        <v>NO</v>
      </c>
      <c r="F240" t="str">
        <f t="shared" si="30"/>
        <v/>
      </c>
      <c r="G240" t="str">
        <f t="shared" si="27"/>
        <v/>
      </c>
      <c r="H240" s="1196" t="str">
        <f t="shared" si="28"/>
        <v/>
      </c>
      <c r="U240" s="1196" t="str">
        <f t="shared" si="29"/>
        <v/>
      </c>
    </row>
  </sheetData>
  <mergeCells count="2">
    <mergeCell ref="H1:O1"/>
    <mergeCell ref="R1:T1"/>
  </mergeCells>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6984C-2351-44F4-B4BF-358328B607D3}">
  <sheetPr codeName="Foglio26"/>
  <dimension ref="A1:L58"/>
  <sheetViews>
    <sheetView topLeftCell="A30" zoomScaleNormal="100" workbookViewId="0">
      <selection activeCell="B16" sqref="B16"/>
    </sheetView>
  </sheetViews>
  <sheetFormatPr defaultRowHeight="14.5" x14ac:dyDescent="0.35"/>
  <cols>
    <col min="1" max="1" width="9.1796875" style="902"/>
    <col min="2" max="2" width="20.7265625" style="902" customWidth="1"/>
    <col min="3" max="3" width="8" style="902" customWidth="1"/>
    <col min="4" max="5" width="10.453125" style="902" bestFit="1" customWidth="1"/>
    <col min="6" max="6" width="9.1796875" style="902"/>
    <col min="7" max="7" width="12" style="902" customWidth="1"/>
    <col min="8" max="8" width="17.453125" style="902" customWidth="1"/>
    <col min="12" max="12" width="13.26953125" bestFit="1" customWidth="1"/>
  </cols>
  <sheetData>
    <row r="1" spans="2:12" ht="15" thickBot="1" x14ac:dyDescent="0.4">
      <c r="B1" s="929" t="s">
        <v>2168</v>
      </c>
      <c r="C1" s="929"/>
      <c r="D1" s="929"/>
      <c r="E1" s="929"/>
      <c r="F1" s="929"/>
      <c r="G1" s="929"/>
      <c r="H1" s="929"/>
    </row>
    <row r="2" spans="2:12" ht="15" thickBot="1" x14ac:dyDescent="0.4">
      <c r="B2" s="2065" t="s">
        <v>2169</v>
      </c>
      <c r="C2" s="2066"/>
      <c r="D2" s="2067"/>
      <c r="E2" s="930" t="s">
        <v>2170</v>
      </c>
      <c r="F2" s="929"/>
      <c r="G2" s="929"/>
      <c r="H2" s="929"/>
    </row>
    <row r="3" spans="2:12" x14ac:dyDescent="0.35">
      <c r="B3" s="929"/>
      <c r="C3" s="929"/>
      <c r="D3" s="929"/>
      <c r="E3" s="929"/>
      <c r="F3" s="929"/>
      <c r="G3" s="929"/>
      <c r="H3" s="929"/>
    </row>
    <row r="4" spans="2:12" ht="15.5" x14ac:dyDescent="0.35">
      <c r="B4" s="903" t="str">
        <f>+CONCATENATE("Mandato di Erogazione 2° SAL PROT. ",C7)</f>
        <v>Mandato di Erogazione 2° SAL PROT. 0</v>
      </c>
      <c r="E4" s="931"/>
    </row>
    <row r="5" spans="2:12" x14ac:dyDescent="0.35">
      <c r="B5" s="902" t="s">
        <v>2171</v>
      </c>
    </row>
    <row r="6" spans="2:12" ht="15" thickBot="1" x14ac:dyDescent="0.4"/>
    <row r="7" spans="2:12" x14ac:dyDescent="0.35">
      <c r="B7" s="904" t="s">
        <v>2172</v>
      </c>
      <c r="C7" s="2068">
        <f>+Anagrafica!C2</f>
        <v>0</v>
      </c>
      <c r="D7" s="2068"/>
      <c r="E7" s="2068"/>
      <c r="F7" s="2068"/>
      <c r="G7" s="2068"/>
      <c r="H7" s="2069"/>
    </row>
    <row r="8" spans="2:12" x14ac:dyDescent="0.35">
      <c r="B8" s="905" t="s">
        <v>2173</v>
      </c>
      <c r="C8" s="2070">
        <f>+Anagrafica!C17</f>
        <v>0</v>
      </c>
      <c r="D8" s="2070"/>
      <c r="E8" s="2070"/>
      <c r="F8" s="2070"/>
      <c r="G8" s="2070"/>
      <c r="H8" s="2071"/>
    </row>
    <row r="9" spans="2:12" x14ac:dyDescent="0.35">
      <c r="B9" s="905" t="s">
        <v>2174</v>
      </c>
      <c r="C9" s="2070">
        <f>+Anagrafica!C18</f>
        <v>0</v>
      </c>
      <c r="D9" s="2070"/>
      <c r="E9" s="2070"/>
      <c r="F9" s="2070"/>
      <c r="G9" s="2070"/>
      <c r="H9" s="2071"/>
    </row>
    <row r="10" spans="2:12" x14ac:dyDescent="0.35">
      <c r="B10" s="905" t="s">
        <v>2175</v>
      </c>
      <c r="C10" s="2070">
        <f>+Anagrafica!C9</f>
        <v>0</v>
      </c>
      <c r="D10" s="2070"/>
      <c r="E10" s="2070"/>
      <c r="F10" s="2070"/>
      <c r="G10" s="2070"/>
      <c r="H10" s="2071"/>
    </row>
    <row r="11" spans="2:12" ht="29" x14ac:dyDescent="0.35">
      <c r="B11" s="1121" t="s">
        <v>2264</v>
      </c>
      <c r="C11" s="2223" t="str">
        <f>+Anagrafica!C24</f>
        <v>NIT2 - Fondo Unico - NIT 2.0</v>
      </c>
      <c r="D11" s="2224"/>
      <c r="E11" s="2224"/>
      <c r="F11" s="2224"/>
      <c r="G11" s="2224"/>
      <c r="H11" s="2225"/>
    </row>
    <row r="12" spans="2:12" ht="29.5" thickBot="1" x14ac:dyDescent="0.4">
      <c r="B12" s="906" t="s">
        <v>2265</v>
      </c>
      <c r="C12" s="2220" t="str">
        <f>+Anagrafica!C25</f>
        <v>NIT2 - NIT 2.0 - Fondo perduto</v>
      </c>
      <c r="D12" s="2221"/>
      <c r="E12" s="2221"/>
      <c r="F12" s="2221"/>
      <c r="G12" s="2221"/>
      <c r="H12" s="2222"/>
    </row>
    <row r="14" spans="2:12" x14ac:dyDescent="0.35">
      <c r="B14" s="2074" t="str" cm="1">
        <f t="array" aca="1" ref="B14" ca="1">+IFERROR(IF(+COUNTIF(Quietanzasal2,"NO")&gt;0,"Vista la proposta effettuata dalla SU IMPR2 si autorizza l'erogazione del 2° SAL su fatture quietanzate e non","Vista la proposta effettuata dalla SU IMPR2 si autorizza l'erogazione del 2° SAL su fatture quietanzate"),"")</f>
        <v/>
      </c>
      <c r="C14" s="2074"/>
      <c r="D14" s="2074"/>
      <c r="E14" s="2074"/>
      <c r="F14" s="2074"/>
      <c r="G14" s="2074"/>
      <c r="H14" s="2074"/>
    </row>
    <row r="15" spans="2:12" ht="21" customHeight="1" thickBot="1" x14ac:dyDescent="0.4">
      <c r="B15" s="2075"/>
      <c r="C15" s="2075"/>
      <c r="D15" s="2075"/>
      <c r="E15" s="2075"/>
      <c r="F15" s="2075"/>
      <c r="G15" s="2075"/>
      <c r="H15" s="2075"/>
    </row>
    <row r="16" spans="2:12" x14ac:dyDescent="0.35">
      <c r="B16" s="904" t="s">
        <v>2178</v>
      </c>
      <c r="C16" s="2076">
        <f ca="1">+'2 SAL'!F146</f>
        <v>0</v>
      </c>
      <c r="D16" s="2076"/>
      <c r="E16" s="2076"/>
      <c r="F16" s="2076"/>
      <c r="G16" s="2076"/>
      <c r="H16" s="2077"/>
      <c r="L16" s="813"/>
    </row>
    <row r="17" spans="2:8" ht="15" thickBot="1" x14ac:dyDescent="0.4">
      <c r="B17" s="2078" t="e" cm="1">
        <f t="array" aca="1" ref="B17" ca="1">+NumToLet(C16)</f>
        <v>#NAME?</v>
      </c>
      <c r="C17" s="2079"/>
      <c r="D17" s="2079"/>
      <c r="E17" s="2079"/>
      <c r="F17" s="2079"/>
      <c r="G17" s="2079"/>
      <c r="H17" s="2080"/>
    </row>
    <row r="18" spans="2:8" x14ac:dyDescent="0.35">
      <c r="B18" s="904" t="s">
        <v>2266</v>
      </c>
      <c r="C18" s="2076">
        <f ca="1">+'2 SAL'!F143</f>
        <v>0</v>
      </c>
      <c r="D18" s="2076"/>
      <c r="E18" s="2076"/>
      <c r="F18" s="2076"/>
      <c r="G18" s="2076"/>
      <c r="H18" s="2077"/>
    </row>
    <row r="19" spans="2:8" ht="15" thickBot="1" x14ac:dyDescent="0.4">
      <c r="B19" s="2078" t="e" cm="1">
        <f t="array" aca="1" ref="B19" ca="1">+NumToLet(C18)</f>
        <v>#NAME?</v>
      </c>
      <c r="C19" s="2079"/>
      <c r="D19" s="2079"/>
      <c r="E19" s="2079"/>
      <c r="F19" s="2079"/>
      <c r="G19" s="2079"/>
      <c r="H19" s="2080"/>
    </row>
    <row r="20" spans="2:8" x14ac:dyDescent="0.35">
      <c r="B20" s="904" t="s">
        <v>2267</v>
      </c>
      <c r="C20" s="2076">
        <f ca="1">+'2 SAL'!F145</f>
        <v>0</v>
      </c>
      <c r="D20" s="2076"/>
      <c r="E20" s="2076"/>
      <c r="F20" s="2076"/>
      <c r="G20" s="2076"/>
      <c r="H20" s="2077"/>
    </row>
    <row r="21" spans="2:8" ht="15" thickBot="1" x14ac:dyDescent="0.4">
      <c r="B21" s="2078" t="e" cm="1">
        <f t="array" aca="1" ref="B21" ca="1">+NumToLet(C20)</f>
        <v>#NAME?</v>
      </c>
      <c r="C21" s="2079"/>
      <c r="D21" s="2079"/>
      <c r="E21" s="2079"/>
      <c r="F21" s="2079"/>
      <c r="G21" s="2079"/>
      <c r="H21" s="2080"/>
    </row>
    <row r="22" spans="2:8" ht="15" thickBot="1" x14ac:dyDescent="0.4">
      <c r="B22" s="907" t="s">
        <v>2179</v>
      </c>
    </row>
    <row r="23" spans="2:8" x14ac:dyDescent="0.35">
      <c r="B23" s="908" t="s">
        <v>1875</v>
      </c>
      <c r="C23" s="2081">
        <f>+Anagrafica!C6</f>
        <v>0</v>
      </c>
      <c r="D23" s="2081"/>
      <c r="E23" s="2081"/>
      <c r="F23" s="2081"/>
      <c r="G23" s="2081"/>
      <c r="H23" s="2082"/>
    </row>
    <row r="24" spans="2:8" x14ac:dyDescent="0.35">
      <c r="B24" s="909" t="s">
        <v>2180</v>
      </c>
      <c r="C24" s="2083">
        <f>+Anagrafica!C7</f>
        <v>0</v>
      </c>
      <c r="D24" s="2083"/>
      <c r="E24" s="2083"/>
      <c r="F24" s="2083"/>
      <c r="G24" s="2083"/>
      <c r="H24" s="2084"/>
    </row>
    <row r="25" spans="2:8" x14ac:dyDescent="0.35">
      <c r="B25" s="909" t="s">
        <v>628</v>
      </c>
      <c r="C25" s="2083" t="str">
        <f>+Anagrafica!C8</f>
        <v>ROMA</v>
      </c>
      <c r="D25" s="2083"/>
      <c r="E25" s="2083"/>
      <c r="F25" s="2083"/>
      <c r="G25" s="2083"/>
      <c r="H25" s="2084"/>
    </row>
    <row r="26" spans="2:8" x14ac:dyDescent="0.35">
      <c r="B26" s="909" t="s">
        <v>2181</v>
      </c>
      <c r="C26" s="2083">
        <f>+Anagrafica!H7</f>
        <v>0</v>
      </c>
      <c r="D26" s="2083"/>
      <c r="E26" s="2083"/>
      <c r="F26" s="2083"/>
      <c r="G26" s="2083"/>
      <c r="H26" s="2084"/>
    </row>
    <row r="27" spans="2:8" x14ac:dyDescent="0.35">
      <c r="B27" s="909" t="s">
        <v>630</v>
      </c>
      <c r="C27" s="2083" t="str">
        <f>+Anagrafica!H8</f>
        <v>RM</v>
      </c>
      <c r="D27" s="2083"/>
      <c r="E27" s="2083"/>
      <c r="F27" s="2083"/>
      <c r="G27" s="2083"/>
      <c r="H27" s="2084"/>
    </row>
    <row r="28" spans="2:8" x14ac:dyDescent="0.35">
      <c r="B28" s="909" t="s">
        <v>2182</v>
      </c>
      <c r="C28" s="2083">
        <f>+Anagrafica!C11</f>
        <v>0</v>
      </c>
      <c r="D28" s="2083"/>
      <c r="E28" s="2083"/>
      <c r="F28" s="2083"/>
      <c r="G28" s="2083"/>
      <c r="H28" s="2084"/>
    </row>
    <row r="29" spans="2:8" ht="15" thickBot="1" x14ac:dyDescent="0.4">
      <c r="B29" s="910" t="s">
        <v>2183</v>
      </c>
      <c r="C29" s="2085">
        <f>+Anagrafica!C10</f>
        <v>0</v>
      </c>
      <c r="D29" s="2085"/>
      <c r="E29" s="2085"/>
      <c r="F29" s="2085"/>
      <c r="G29" s="2085"/>
      <c r="H29" s="2086"/>
    </row>
    <row r="30" spans="2:8" x14ac:dyDescent="0.35">
      <c r="D30" s="911"/>
    </row>
    <row r="31" spans="2:8" ht="15" thickBot="1" x14ac:dyDescent="0.4">
      <c r="B31" s="907" t="s">
        <v>2184</v>
      </c>
      <c r="D31" s="911"/>
    </row>
    <row r="32" spans="2:8" x14ac:dyDescent="0.35">
      <c r="B32" s="908" t="s">
        <v>1875</v>
      </c>
      <c r="C32" s="2087" t="str">
        <f>+Anagrafica!C46</f>
        <v>BANCA SELLA</v>
      </c>
      <c r="D32" s="2087"/>
      <c r="E32" s="2087"/>
      <c r="F32" s="2087"/>
      <c r="G32" s="2087"/>
      <c r="H32" s="2088"/>
    </row>
    <row r="33" spans="1:8" x14ac:dyDescent="0.35">
      <c r="B33" s="909" t="s">
        <v>2097</v>
      </c>
      <c r="C33" s="2072" t="str">
        <f>+Anagrafica!C47</f>
        <v>AGENZIA 30</v>
      </c>
      <c r="D33" s="2072"/>
      <c r="E33" s="2072"/>
      <c r="F33" s="2072"/>
      <c r="G33" s="2072"/>
      <c r="H33" s="2073"/>
    </row>
    <row r="34" spans="1:8" ht="15" thickBot="1" x14ac:dyDescent="0.4">
      <c r="B34" s="912" t="s">
        <v>630</v>
      </c>
      <c r="C34" s="2089" t="str">
        <f>+Anagrafica!C48</f>
        <v>XXXXXXXXXXXXXX</v>
      </c>
      <c r="D34" s="2089"/>
      <c r="E34" s="2089"/>
      <c r="F34" s="2089"/>
      <c r="G34" s="2089"/>
      <c r="H34" s="2090"/>
    </row>
    <row r="35" spans="1:8" ht="15" thickBot="1" x14ac:dyDescent="0.4"/>
    <row r="36" spans="1:8" ht="15" thickBot="1" x14ac:dyDescent="0.4">
      <c r="A36" s="913"/>
      <c r="B36" s="913"/>
      <c r="C36" s="913"/>
      <c r="D36" s="914" t="s">
        <v>2088</v>
      </c>
      <c r="E36" s="915" t="s">
        <v>2089</v>
      </c>
      <c r="F36" s="915" t="s">
        <v>2090</v>
      </c>
      <c r="G36" s="915" t="s">
        <v>2091</v>
      </c>
      <c r="H36" s="916" t="s">
        <v>2092</v>
      </c>
    </row>
    <row r="37" spans="1:8" ht="15" thickBot="1" x14ac:dyDescent="0.4">
      <c r="A37" s="913"/>
      <c r="B37" s="914" t="s">
        <v>2093</v>
      </c>
      <c r="C37" s="917" t="s">
        <v>2094</v>
      </c>
      <c r="D37" s="918">
        <f>+Anagrafica!D50</f>
        <v>0</v>
      </c>
      <c r="E37" s="918">
        <f>+Anagrafica!E50</f>
        <v>0</v>
      </c>
      <c r="F37" s="918">
        <f>+Anagrafica!F50</f>
        <v>0</v>
      </c>
      <c r="G37" s="918">
        <f>+Anagrafica!G50</f>
        <v>0</v>
      </c>
      <c r="H37" s="919">
        <f>+Anagrafica!H50</f>
        <v>0</v>
      </c>
    </row>
    <row r="39" spans="1:8" ht="15" thickBot="1" x14ac:dyDescent="0.4">
      <c r="B39" s="612" t="str">
        <f ca="1">+IFERROR(+CONCATENATE(TEXT($C$18,"€ #.##0,00")," ", "da addebitare sul conto corrente della Fonte Finanziaria:"),"")</f>
        <v>€ 0,00 da addebitare sul conto corrente della Fonte Finanziaria:</v>
      </c>
    </row>
    <row r="40" spans="1:8" ht="15" customHeight="1" x14ac:dyDescent="0.35">
      <c r="B40" s="920" t="s">
        <v>2096</v>
      </c>
      <c r="C40" s="2091" t="str">
        <f ca="1">+IFERROR(+IF($C$18=0,"",VLOOKUP($C$11,'Fonti e cc'!$A$2:$I$5,2)),"")</f>
        <v/>
      </c>
      <c r="D40" s="2091"/>
      <c r="E40" s="2092"/>
    </row>
    <row r="41" spans="1:8" ht="15" thickBot="1" x14ac:dyDescent="0.4">
      <c r="B41" s="921" t="s">
        <v>2097</v>
      </c>
      <c r="C41" s="922" t="str">
        <f ca="1">+IFERROR(+IF($C$18=0,"",VLOOKUP($C$11,'Fonti e cc'!$A$2:$I$5,3)),"")</f>
        <v/>
      </c>
      <c r="D41" s="923" t="s">
        <v>2185</v>
      </c>
      <c r="E41" s="924" t="str">
        <f ca="1">+IFERROR(+IF($C$18=0,"","RM"),"")</f>
        <v/>
      </c>
    </row>
    <row r="42" spans="1:8" ht="15" thickBot="1" x14ac:dyDescent="0.4"/>
    <row r="43" spans="1:8" ht="15" thickBot="1" x14ac:dyDescent="0.4">
      <c r="B43" s="913"/>
      <c r="C43" s="913"/>
      <c r="D43" s="914" t="s">
        <v>2088</v>
      </c>
      <c r="E43" s="915" t="s">
        <v>2089</v>
      </c>
      <c r="F43" s="915" t="s">
        <v>2090</v>
      </c>
      <c r="G43" s="915" t="s">
        <v>2091</v>
      </c>
      <c r="H43" s="916" t="s">
        <v>2092</v>
      </c>
    </row>
    <row r="44" spans="1:8" ht="15" thickBot="1" x14ac:dyDescent="0.4">
      <c r="B44" s="914" t="s">
        <v>2093</v>
      </c>
      <c r="C44" s="917" t="s">
        <v>2094</v>
      </c>
      <c r="D44" s="918" t="str">
        <f ca="1">+IFERROR(+IF($C$18=0,"",VLOOKUP($C$11,'Fonti e cc'!$A$2:$I$5,5)),"")</f>
        <v/>
      </c>
      <c r="E44" s="918" t="str">
        <f ca="1">+IFERROR(+IF($C$18=0,"",VLOOKUP($C$11,'Fonti e cc'!$A$2:$I$5,6)),"")</f>
        <v/>
      </c>
      <c r="F44" s="918" t="str">
        <f ca="1">+IFERROR(+IF($C$18=0,"",VLOOKUP($C$11,'Fonti e cc'!$A$2:$I$5,7)),"")</f>
        <v/>
      </c>
      <c r="G44" s="918" t="str">
        <f ca="1">+IFERROR(+IF($C$18=0,"",VLOOKUP($C$11,'Fonti e cc'!$A$2:$I$5,8)),"")</f>
        <v/>
      </c>
      <c r="H44" s="919" t="str">
        <f ca="1">+IFERROR(+IF($C$18=0,"",VLOOKUP($C$11,'Fonti e cc'!$A$2:$I$5,9)),"")</f>
        <v/>
      </c>
    </row>
    <row r="45" spans="1:8" x14ac:dyDescent="0.35">
      <c r="B45" s="1164"/>
      <c r="C45" s="1184"/>
      <c r="D45" s="1164"/>
      <c r="E45" s="1164"/>
      <c r="F45" s="1164"/>
      <c r="G45" s="1164"/>
      <c r="H45" s="1165"/>
    </row>
    <row r="46" spans="1:8" ht="15" thickBot="1" x14ac:dyDescent="0.4">
      <c r="B46" s="612" t="str">
        <f ca="1">+IFERROR(+CONCATENATE(TEXT($C$20,"€ #.##0,00")," ", "da addebitare sul conto corrente della Fonte Finanziaria:"),"")</f>
        <v>€ 0,00 da addebitare sul conto corrente della Fonte Finanziaria:</v>
      </c>
    </row>
    <row r="47" spans="1:8" ht="15" customHeight="1" x14ac:dyDescent="0.35">
      <c r="B47" s="920" t="s">
        <v>2096</v>
      </c>
      <c r="C47" s="2091" t="str">
        <f ca="1">+IFERROR(+IF($C$20=0,"",'Fonti e cc'!$B$6),"")</f>
        <v/>
      </c>
      <c r="D47" s="2091"/>
      <c r="E47" s="2092"/>
    </row>
    <row r="48" spans="1:8" ht="15" thickBot="1" x14ac:dyDescent="0.4">
      <c r="B48" s="921" t="s">
        <v>2097</v>
      </c>
      <c r="C48" s="922" t="str">
        <f ca="1">+IFERROR(+IF($C$20=0,"",'Fonti e cc'!$C$6),"")</f>
        <v/>
      </c>
      <c r="D48" s="923" t="s">
        <v>2185</v>
      </c>
      <c r="E48" s="924" t="str">
        <f ca="1">+IFERROR(+IF($C$20=0,"","MI"),"")</f>
        <v/>
      </c>
    </row>
    <row r="49" spans="2:8" ht="15" thickBot="1" x14ac:dyDescent="0.4"/>
    <row r="50" spans="2:8" ht="15" thickBot="1" x14ac:dyDescent="0.4">
      <c r="B50" s="913"/>
      <c r="C50" s="913"/>
      <c r="D50" s="914" t="s">
        <v>2088</v>
      </c>
      <c r="E50" s="915" t="s">
        <v>2089</v>
      </c>
      <c r="F50" s="915" t="s">
        <v>2090</v>
      </c>
      <c r="G50" s="915" t="s">
        <v>2091</v>
      </c>
      <c r="H50" s="916" t="s">
        <v>2092</v>
      </c>
    </row>
    <row r="51" spans="2:8" ht="15" thickBot="1" x14ac:dyDescent="0.4">
      <c r="B51" s="914" t="s">
        <v>2093</v>
      </c>
      <c r="C51" s="917" t="s">
        <v>2094</v>
      </c>
      <c r="D51" s="918" t="str">
        <f ca="1">+IFERROR(+IF($C$20=0,"",'Fonti e cc'!$E$6),"")</f>
        <v/>
      </c>
      <c r="E51" s="918" t="str">
        <f ca="1">+IFERROR(+IF($C$20=0,"",'Fonti e cc'!$F$6),"")</f>
        <v/>
      </c>
      <c r="F51" s="918" t="str">
        <f ca="1">+IFERROR(+IF($C$20=0,"",'Fonti e cc'!$G$6),"")</f>
        <v/>
      </c>
      <c r="G51" s="918" t="str">
        <f ca="1">+IFERROR(+IF($C$20=0,"",'Fonti e cc'!$H$6),"")</f>
        <v/>
      </c>
      <c r="H51" s="919" t="str">
        <f ca="1">+IFERROR(+IF($C$20=0,"",'Fonti e cc'!$I$6),"")</f>
        <v/>
      </c>
    </row>
    <row r="52" spans="2:8" ht="15" thickBot="1" x14ac:dyDescent="0.4"/>
    <row r="53" spans="2:8" ht="15" thickBot="1" x14ac:dyDescent="0.4">
      <c r="B53" s="2093" t="s">
        <v>2169</v>
      </c>
      <c r="C53" s="2094"/>
      <c r="D53" s="2094"/>
      <c r="E53" s="2094"/>
      <c r="F53" s="925" t="str">
        <f>+E2</f>
        <v>No</v>
      </c>
    </row>
    <row r="55" spans="2:8" x14ac:dyDescent="0.35">
      <c r="F55" s="2095" t="s">
        <v>2186</v>
      </c>
      <c r="G55" s="2095"/>
      <c r="H55" s="2095"/>
    </row>
    <row r="57" spans="2:8" x14ac:dyDescent="0.35">
      <c r="F57" s="2095" t="s">
        <v>2187</v>
      </c>
      <c r="G57" s="2095"/>
      <c r="H57" s="2095"/>
    </row>
    <row r="58" spans="2:8" x14ac:dyDescent="0.35">
      <c r="G58" s="902" t="s">
        <v>2186</v>
      </c>
    </row>
  </sheetData>
  <mergeCells count="29">
    <mergeCell ref="B53:E53"/>
    <mergeCell ref="F55:H55"/>
    <mergeCell ref="F57:H57"/>
    <mergeCell ref="C28:H28"/>
    <mergeCell ref="C29:H29"/>
    <mergeCell ref="C32:H32"/>
    <mergeCell ref="C33:H33"/>
    <mergeCell ref="C34:H34"/>
    <mergeCell ref="C40:E40"/>
    <mergeCell ref="C47:E47"/>
    <mergeCell ref="C27:H27"/>
    <mergeCell ref="B14:H15"/>
    <mergeCell ref="C16:H16"/>
    <mergeCell ref="B17:H17"/>
    <mergeCell ref="C18:H18"/>
    <mergeCell ref="B19:H19"/>
    <mergeCell ref="C20:H20"/>
    <mergeCell ref="B21:H21"/>
    <mergeCell ref="C23:H23"/>
    <mergeCell ref="C24:H24"/>
    <mergeCell ref="C25:H25"/>
    <mergeCell ref="C26:H26"/>
    <mergeCell ref="C12:H12"/>
    <mergeCell ref="B2:D2"/>
    <mergeCell ref="C7:H7"/>
    <mergeCell ref="C8:H8"/>
    <mergeCell ref="C9:H9"/>
    <mergeCell ref="C10:H10"/>
    <mergeCell ref="C11:H11"/>
  </mergeCells>
  <dataValidations count="8">
    <dataValidation type="textLength" errorStyle="information" operator="equal" allowBlank="1" showInputMessage="1" showErrorMessage="1" errorTitle="Numero dati sbagliato" error="Devono essere 5 cifre" sqref="C26:H26" xr:uid="{ECBD5BFE-718D-4DD6-819C-A04690152BB4}">
      <formula1>5</formula1>
    </dataValidation>
    <dataValidation type="textLength" errorStyle="information" operator="equal" allowBlank="1" showInputMessage="1" showErrorMessage="1" errorTitle="Numero dati sbagliato" error="Devono essere 11 cifre" sqref="C28:H29" xr:uid="{85B5CF12-76A3-4F02-9CF7-6766D7604BEC}">
      <formula1>11</formula1>
    </dataValidation>
    <dataValidation type="textLength" errorStyle="information" operator="equal" allowBlank="1" showInputMessage="1" showErrorMessage="1" errorTitle="Numero dati Sbagliati" error="Devono essere 12 cifre_x000a_" sqref="H37 H44:H45 H51" xr:uid="{4136C62E-8C87-413E-B9CA-E5747510B748}">
      <formula1>12</formula1>
    </dataValidation>
    <dataValidation type="textLength" errorStyle="information" operator="equal" allowBlank="1" showInputMessage="1" showErrorMessage="1" errorTitle="Numero dati Sbagliati" error="Devono essere 2 cifre" sqref="D37 D44:D45 D51" xr:uid="{415FA570-B629-481D-9926-28384165C7B9}">
      <formula1>2</formula1>
    </dataValidation>
    <dataValidation type="textLength" errorStyle="information" operator="equal" allowBlank="1" showInputMessage="1" showErrorMessage="1" errorTitle="Numero dati Sbagliati" error="Deve essere 1 cifra" sqref="E37 E44:E45 E51" xr:uid="{42C7B577-0BCF-4557-A2EE-C9114E024431}">
      <formula1>1</formula1>
    </dataValidation>
    <dataValidation type="textLength" errorStyle="information" operator="equal" allowBlank="1" showInputMessage="1" showErrorMessage="1" errorTitle="Numero dati Sbagliati" error="Devono essere 5 cifre" sqref="F37:G37 F44:G45 F51:G51" xr:uid="{C3AEDEAB-8387-4CA6-B242-EE1F3B4A7425}">
      <formula1>5</formula1>
    </dataValidation>
    <dataValidation allowBlank="1" showInputMessage="1" showErrorMessage="1" promptTitle="Dato utile" prompt="Via e civico" sqref="C24:H24" xr:uid="{EFC5147F-2A0E-4D27-99D2-675D117C8D65}"/>
    <dataValidation type="list" allowBlank="1" showInputMessage="1" showErrorMessage="1" sqref="E2" xr:uid="{64A72EDA-BA4E-4372-A9A1-1545F7D5C7B7}">
      <formula1>"No,Si,"</formula1>
    </dataValidation>
  </dataValidations>
  <pageMargins left="0.7" right="0.7" top="0.75" bottom="0.75" header="0.3" footer="0.3"/>
  <pageSetup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8241" r:id="rId4" name="Button 1">
              <controlPr defaultSize="0" print="0" autoFill="0" autoPict="0" macro="[0]!Mandato_2_SAL">
                <anchor moveWithCells="1" sizeWithCells="1">
                  <from>
                    <xdr:col>8</xdr:col>
                    <xdr:colOff>488950</xdr:colOff>
                    <xdr:row>0</xdr:row>
                    <xdr:rowOff>107950</xdr:rowOff>
                  </from>
                  <to>
                    <xdr:col>11</xdr:col>
                    <xdr:colOff>222250</xdr:colOff>
                    <xdr:row>4</xdr:row>
                    <xdr:rowOff>57150</xdr:rowOff>
                  </to>
                </anchor>
              </controlPr>
            </control>
          </mc:Choice>
        </mc:AlternateContent>
      </controls>
    </mc:Choice>
  </mc:AlternateConten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2EF7C-2554-4380-A589-ED2019C93FA6}">
  <sheetPr codeName="Foglio27"/>
  <dimension ref="A1:U183"/>
  <sheetViews>
    <sheetView topLeftCell="A42" zoomScale="90" zoomScaleNormal="90" workbookViewId="0">
      <selection activeCell="B16" sqref="B16"/>
    </sheetView>
  </sheetViews>
  <sheetFormatPr defaultRowHeight="14.5" x14ac:dyDescent="0.35"/>
  <cols>
    <col min="1" max="1" width="3.453125" customWidth="1"/>
    <col min="2" max="2" width="27" customWidth="1"/>
    <col min="3" max="3" width="14.7265625" customWidth="1"/>
    <col min="4" max="4" width="14.7265625" bestFit="1" customWidth="1"/>
    <col min="5" max="5" width="15.453125" customWidth="1"/>
    <col min="6" max="6" width="14.7265625" customWidth="1"/>
    <col min="7" max="7" width="15.81640625" customWidth="1"/>
    <col min="8" max="9" width="14.453125" customWidth="1"/>
    <col min="10" max="10" width="30.7265625" customWidth="1"/>
    <col min="11" max="11" width="40.453125" customWidth="1"/>
    <col min="12" max="12" width="11.54296875" customWidth="1"/>
    <col min="13" max="13" width="11.453125" customWidth="1"/>
    <col min="14" max="14" width="10.54296875" customWidth="1"/>
    <col min="15" max="16" width="9.7265625" bestFit="1" customWidth="1"/>
    <col min="19" max="19" width="9.7265625" bestFit="1" customWidth="1"/>
    <col min="20" max="20" width="8.54296875" customWidth="1"/>
    <col min="21" max="21" width="9.1796875" style="989"/>
  </cols>
  <sheetData>
    <row r="1" spans="1:20" ht="15" thickBot="1" x14ac:dyDescent="0.4">
      <c r="A1" s="860"/>
      <c r="B1" s="860"/>
      <c r="C1" s="860"/>
      <c r="D1" s="860"/>
      <c r="E1" s="860"/>
      <c r="F1" s="860"/>
      <c r="G1" s="860"/>
      <c r="H1" s="860"/>
      <c r="I1" s="860"/>
      <c r="J1" s="860"/>
      <c r="K1" s="860"/>
      <c r="L1" s="989"/>
      <c r="M1" s="989"/>
      <c r="N1" s="989"/>
      <c r="O1" s="989"/>
      <c r="P1" s="989"/>
      <c r="Q1" s="989"/>
      <c r="R1" s="989"/>
      <c r="S1" s="989"/>
      <c r="T1" s="989"/>
    </row>
    <row r="2" spans="1:20" ht="21" x14ac:dyDescent="0.35">
      <c r="A2" s="860" t="s">
        <v>626</v>
      </c>
      <c r="B2" s="2147" t="s">
        <v>2297</v>
      </c>
      <c r="C2" s="2148"/>
      <c r="D2" s="2148"/>
      <c r="E2" s="2148"/>
      <c r="F2" s="2148"/>
      <c r="G2" s="2148"/>
      <c r="H2" s="2148"/>
      <c r="I2" s="2148"/>
      <c r="J2" s="2148"/>
      <c r="K2" s="2149"/>
      <c r="L2" s="989"/>
      <c r="M2" s="989"/>
      <c r="N2" s="989"/>
      <c r="O2" s="989"/>
      <c r="P2" s="989"/>
      <c r="Q2" s="989"/>
      <c r="R2" s="989"/>
      <c r="S2" s="989"/>
      <c r="T2" s="989"/>
    </row>
    <row r="3" spans="1:20" x14ac:dyDescent="0.35">
      <c r="A3" s="860"/>
      <c r="B3" s="933"/>
      <c r="C3" s="934"/>
      <c r="D3" s="934"/>
      <c r="E3" s="934"/>
      <c r="F3" s="934"/>
      <c r="G3" s="934"/>
      <c r="H3" s="934"/>
      <c r="I3" s="934"/>
      <c r="J3" s="934"/>
      <c r="K3" s="935"/>
      <c r="L3" s="989"/>
      <c r="M3" s="989"/>
      <c r="N3" s="989"/>
      <c r="O3" s="989"/>
      <c r="P3" s="989"/>
      <c r="Q3" s="989"/>
      <c r="R3" s="989"/>
      <c r="S3" s="989"/>
      <c r="T3" s="989"/>
    </row>
    <row r="4" spans="1:20" x14ac:dyDescent="0.35">
      <c r="A4" s="860"/>
      <c r="B4" s="936" t="s">
        <v>2129</v>
      </c>
      <c r="C4" s="2136">
        <f>+Anagrafica!$C$6</f>
        <v>0</v>
      </c>
      <c r="D4" s="2136"/>
      <c r="E4" s="2136"/>
      <c r="F4" s="2136"/>
      <c r="G4" s="937" t="s">
        <v>2130</v>
      </c>
      <c r="H4" s="979">
        <f>+Anagrafica!$C$2</f>
        <v>0</v>
      </c>
      <c r="I4" s="979"/>
      <c r="J4" s="1004" t="s">
        <v>1</v>
      </c>
      <c r="K4" s="938" t="str">
        <f>+Anagrafica!$G$2</f>
        <v>Capo III</v>
      </c>
      <c r="L4" s="989"/>
      <c r="M4" s="989"/>
      <c r="N4" s="989"/>
      <c r="O4" s="989"/>
      <c r="P4" s="989"/>
      <c r="Q4" s="989"/>
      <c r="R4" s="989"/>
      <c r="S4" s="989"/>
      <c r="T4" s="989"/>
    </row>
    <row r="5" spans="1:20" x14ac:dyDescent="0.35">
      <c r="A5" s="860"/>
      <c r="B5" s="939"/>
      <c r="C5" s="860"/>
      <c r="D5" s="860"/>
      <c r="E5" s="860"/>
      <c r="F5" s="860"/>
      <c r="G5" s="860"/>
      <c r="H5" s="860"/>
      <c r="I5" s="860"/>
      <c r="J5" s="860"/>
      <c r="K5" s="940"/>
      <c r="L5" s="989"/>
      <c r="M5" s="989"/>
      <c r="N5" s="989"/>
      <c r="O5" s="989"/>
      <c r="P5" s="989"/>
      <c r="Q5" s="989"/>
      <c r="R5" s="989"/>
      <c r="S5" s="989"/>
      <c r="T5" s="989"/>
    </row>
    <row r="6" spans="1:20" x14ac:dyDescent="0.35">
      <c r="A6" s="860"/>
      <c r="B6" s="2150" t="s">
        <v>2189</v>
      </c>
      <c r="C6" s="2151"/>
      <c r="D6" s="2151"/>
      <c r="E6" s="2151"/>
      <c r="F6" s="2151"/>
      <c r="G6" s="2151"/>
      <c r="H6" s="2152" t="str">
        <f>+Anagrafica!C5</f>
        <v>Legale Rappresentante</v>
      </c>
      <c r="I6" s="2152"/>
      <c r="J6" s="2152"/>
      <c r="K6" s="2153"/>
      <c r="L6" s="989"/>
      <c r="M6" s="989"/>
      <c r="N6" s="989"/>
      <c r="O6" s="989"/>
      <c r="P6" s="989"/>
      <c r="Q6" s="989"/>
      <c r="R6" s="989"/>
      <c r="S6" s="989"/>
      <c r="T6" s="989"/>
    </row>
    <row r="7" spans="1:20" x14ac:dyDescent="0.35">
      <c r="A7" s="860"/>
      <c r="B7" s="939"/>
      <c r="C7" s="860"/>
      <c r="D7" s="860"/>
      <c r="E7" s="860"/>
      <c r="F7" s="860"/>
      <c r="G7" s="860"/>
      <c r="H7" s="860"/>
      <c r="I7" s="860"/>
      <c r="J7" s="860"/>
      <c r="K7" s="940"/>
      <c r="L7" s="989"/>
      <c r="M7" s="989"/>
      <c r="N7" s="989"/>
      <c r="O7" s="989"/>
      <c r="P7" s="989"/>
      <c r="Q7" s="989"/>
      <c r="R7" s="989"/>
      <c r="S7" s="989"/>
      <c r="T7" s="989"/>
    </row>
    <row r="8" spans="1:20" x14ac:dyDescent="0.35">
      <c r="A8" s="860"/>
      <c r="B8" s="2154" t="str">
        <f>+IF(OR(Anagrafica!C3="",Anagrafica!C4=""),"",CONCATENATE(Anagrafica!C3," codice fiscale ",Anagrafica!C4))</f>
        <v/>
      </c>
      <c r="C8" s="2152"/>
      <c r="D8" s="2152"/>
      <c r="E8" s="2152"/>
      <c r="F8" s="2152"/>
      <c r="G8" s="2152"/>
      <c r="H8" s="2152"/>
      <c r="I8" s="2152"/>
      <c r="J8" s="2152"/>
      <c r="K8" s="2153"/>
      <c r="L8" s="989"/>
      <c r="M8" s="989"/>
      <c r="N8" s="989"/>
      <c r="O8" s="989"/>
      <c r="P8" s="989"/>
      <c r="Q8" s="989"/>
      <c r="R8" s="989"/>
      <c r="S8" s="989"/>
      <c r="T8" s="989"/>
    </row>
    <row r="9" spans="1:20" x14ac:dyDescent="0.35">
      <c r="A9" s="860"/>
      <c r="B9" s="939"/>
      <c r="C9" s="860"/>
      <c r="D9" s="860"/>
      <c r="E9" s="860"/>
      <c r="F9" s="860"/>
      <c r="G9" s="860"/>
      <c r="H9" s="860"/>
      <c r="I9" s="860"/>
      <c r="J9" s="860"/>
      <c r="K9" s="940"/>
      <c r="L9" s="989"/>
      <c r="M9" s="989"/>
      <c r="N9" s="989"/>
      <c r="O9" s="989"/>
      <c r="P9" s="989"/>
      <c r="Q9" s="989"/>
      <c r="R9" s="989"/>
      <c r="S9" s="989"/>
      <c r="T9" s="989"/>
    </row>
    <row r="10" spans="1:20" x14ac:dyDescent="0.35">
      <c r="A10" s="860"/>
      <c r="B10" s="2155" t="s">
        <v>2132</v>
      </c>
      <c r="C10" s="2157" t="str">
        <f>+IF(OR(Anagrafica!C7="",Anagrafica!C8="",Anagrafica!H8=""),"",CONCATENATE(Anagrafica!C7," - ",Anagrafica!C8," (",Anagrafica!H8,")"))</f>
        <v/>
      </c>
      <c r="D10" s="2157"/>
      <c r="E10" s="2157"/>
      <c r="F10" s="2157"/>
      <c r="G10" s="2157"/>
      <c r="H10" s="2157"/>
      <c r="I10" s="2157"/>
      <c r="J10" s="2157"/>
      <c r="K10" s="2158"/>
      <c r="L10" s="989"/>
      <c r="M10" s="989"/>
      <c r="N10" s="989"/>
      <c r="O10" s="989"/>
      <c r="P10" s="989"/>
      <c r="Q10" s="989"/>
      <c r="R10" s="989"/>
      <c r="S10" s="989"/>
      <c r="T10" s="989"/>
    </row>
    <row r="11" spans="1:20" x14ac:dyDescent="0.35">
      <c r="A11" s="860"/>
      <c r="B11" s="2156"/>
      <c r="C11" s="2159"/>
      <c r="D11" s="2159"/>
      <c r="E11" s="2159"/>
      <c r="F11" s="2159"/>
      <c r="G11" s="2159"/>
      <c r="H11" s="2159"/>
      <c r="I11" s="2159"/>
      <c r="J11" s="2159"/>
      <c r="K11" s="2160"/>
      <c r="L11" s="989"/>
      <c r="M11" s="989"/>
      <c r="N11" s="989"/>
      <c r="O11" s="989"/>
      <c r="P11" s="989"/>
      <c r="Q11" s="989"/>
      <c r="R11" s="989"/>
      <c r="S11" s="989"/>
      <c r="T11" s="989"/>
    </row>
    <row r="12" spans="1:20" x14ac:dyDescent="0.35">
      <c r="A12" s="860"/>
      <c r="B12" s="941"/>
      <c r="C12" s="860"/>
      <c r="D12" s="860"/>
      <c r="E12" s="860"/>
      <c r="F12" s="860"/>
      <c r="G12" s="860"/>
      <c r="H12" s="860"/>
      <c r="I12" s="860"/>
      <c r="J12" s="860"/>
      <c r="K12" s="940"/>
      <c r="L12" s="989"/>
      <c r="M12" s="989"/>
      <c r="N12" s="989"/>
      <c r="O12" s="989"/>
      <c r="P12" s="989"/>
      <c r="Q12" s="989"/>
      <c r="R12" s="989"/>
      <c r="S12" s="989"/>
      <c r="T12" s="989"/>
    </row>
    <row r="13" spans="1:20" x14ac:dyDescent="0.35">
      <c r="A13" s="860"/>
      <c r="B13" s="936" t="s">
        <v>2049</v>
      </c>
      <c r="C13" s="2136">
        <f>+Anagrafica!C11</f>
        <v>0</v>
      </c>
      <c r="D13" s="2136"/>
      <c r="E13" s="860"/>
      <c r="F13" s="937" t="s">
        <v>2133</v>
      </c>
      <c r="G13" s="2136" t="str">
        <f>+IF(OR(Anagrafica!C12="",Anagrafica!E12=""),"",CONCATENATE(Anagrafica!E12," al N° ",Anagrafica!C12))</f>
        <v>Roma al N° 123456</v>
      </c>
      <c r="H13" s="2136"/>
      <c r="I13" s="2136"/>
      <c r="J13" s="2136"/>
      <c r="K13" s="2137"/>
      <c r="L13" s="989"/>
      <c r="M13" s="989"/>
      <c r="N13" s="989"/>
      <c r="O13" s="989"/>
      <c r="P13" s="989"/>
      <c r="Q13" s="989"/>
      <c r="R13" s="989"/>
      <c r="S13" s="989"/>
      <c r="T13" s="989"/>
    </row>
    <row r="14" spans="1:20" x14ac:dyDescent="0.35">
      <c r="A14" s="860"/>
      <c r="B14" s="941"/>
      <c r="C14" s="860"/>
      <c r="D14" s="860"/>
      <c r="E14" s="860"/>
      <c r="F14" s="860"/>
      <c r="G14" s="860"/>
      <c r="H14" s="860"/>
      <c r="I14" s="860"/>
      <c r="J14" s="860"/>
      <c r="K14" s="940"/>
      <c r="L14" s="989"/>
      <c r="M14" s="989"/>
      <c r="N14" s="989"/>
      <c r="O14" s="989"/>
      <c r="P14" s="989"/>
      <c r="Q14" s="989"/>
      <c r="R14" s="989"/>
      <c r="S14" s="989"/>
      <c r="T14" s="989"/>
    </row>
    <row r="15" spans="1:20" x14ac:dyDescent="0.35">
      <c r="A15" s="860"/>
      <c r="B15" s="936" t="s">
        <v>2048</v>
      </c>
      <c r="C15" s="2136" t="str">
        <f>+IF(Anagrafica!C9="","",Anagrafica!C9)</f>
        <v/>
      </c>
      <c r="D15" s="2136"/>
      <c r="E15" s="2136"/>
      <c r="F15" s="2136"/>
      <c r="G15" s="2136"/>
      <c r="H15" s="2136"/>
      <c r="I15" s="2136"/>
      <c r="J15" s="2136"/>
      <c r="K15" s="2137"/>
      <c r="L15" s="989"/>
      <c r="M15" s="989"/>
      <c r="N15" s="989"/>
      <c r="O15" s="989"/>
      <c r="P15" s="989"/>
      <c r="Q15" s="989"/>
      <c r="R15" s="989"/>
      <c r="S15" s="989"/>
      <c r="T15" s="989"/>
    </row>
    <row r="16" spans="1:20" ht="18.5" x14ac:dyDescent="0.35">
      <c r="A16" s="860"/>
      <c r="B16" s="2138" t="s">
        <v>2298</v>
      </c>
      <c r="C16" s="2139"/>
      <c r="D16" s="2139"/>
      <c r="E16" s="2139"/>
      <c r="F16" s="2139"/>
      <c r="G16" s="2139"/>
      <c r="H16" s="2139"/>
      <c r="I16" s="2139"/>
      <c r="J16" s="2139"/>
      <c r="K16" s="2140"/>
      <c r="L16" s="989"/>
      <c r="M16" s="989"/>
      <c r="N16" s="989"/>
      <c r="O16" s="989"/>
      <c r="P16" s="989"/>
      <c r="Q16" s="989"/>
      <c r="R16" s="989"/>
      <c r="S16" s="989"/>
      <c r="T16" s="989"/>
    </row>
    <row r="17" spans="1:20" x14ac:dyDescent="0.35">
      <c r="A17" s="860"/>
      <c r="B17" s="939" t="s">
        <v>2135</v>
      </c>
      <c r="C17" s="942" t="str">
        <f>+IF(F76=0,"",F76)</f>
        <v/>
      </c>
      <c r="D17" s="943" t="s">
        <v>2136</v>
      </c>
      <c r="E17" s="944" t="str">
        <f>+IFERROR(IF(C17="","",C17/K17),"")</f>
        <v/>
      </c>
      <c r="F17" s="860" t="s">
        <v>2191</v>
      </c>
      <c r="G17" s="860"/>
      <c r="H17" s="945"/>
      <c r="I17" s="945"/>
      <c r="J17" s="860"/>
      <c r="K17" s="946" t="str">
        <f>IF(Anagrafica!C38=0,"",Anagrafica!C30)</f>
        <v/>
      </c>
      <c r="L17" s="989"/>
      <c r="M17" s="989"/>
      <c r="N17" s="989"/>
      <c r="O17" s="989"/>
      <c r="P17" s="989"/>
      <c r="Q17" s="989"/>
      <c r="R17" s="989"/>
      <c r="S17" s="989"/>
      <c r="T17" s="989"/>
    </row>
    <row r="18" spans="1:20" x14ac:dyDescent="0.35">
      <c r="A18" s="860"/>
      <c r="B18" s="939" t="s">
        <v>2192</v>
      </c>
      <c r="C18" s="860"/>
      <c r="D18" s="860"/>
      <c r="E18" s="860"/>
      <c r="F18" s="860"/>
      <c r="G18" s="860"/>
      <c r="H18" s="860"/>
      <c r="I18" s="860"/>
      <c r="J18" s="860"/>
      <c r="K18" s="940"/>
      <c r="L18" s="989"/>
      <c r="M18" s="989"/>
      <c r="N18" s="989"/>
      <c r="O18" s="989"/>
      <c r="P18" s="989"/>
      <c r="Q18" s="989"/>
      <c r="R18" s="989"/>
      <c r="S18" s="989"/>
      <c r="T18" s="989"/>
    </row>
    <row r="19" spans="1:20" x14ac:dyDescent="0.35">
      <c r="A19" s="860"/>
      <c r="B19" s="947" t="s">
        <v>2193</v>
      </c>
      <c r="C19" s="948"/>
      <c r="D19" s="948"/>
      <c r="E19" s="949" t="str" cm="1">
        <f t="array" aca="1" ref="E19" ca="1">IFERROR(SUMIFS(Imponibilesal3,Quietanzasal3,"SI"),"")</f>
        <v/>
      </c>
      <c r="F19" s="860"/>
      <c r="G19" s="860"/>
      <c r="H19" s="860"/>
      <c r="I19" s="860"/>
      <c r="J19" s="860"/>
      <c r="K19" s="940"/>
      <c r="L19" s="989"/>
      <c r="M19" s="989"/>
      <c r="N19" s="989"/>
      <c r="O19" s="989"/>
      <c r="P19" s="989"/>
      <c r="Q19" s="989"/>
      <c r="R19" s="989"/>
      <c r="S19" s="989"/>
      <c r="T19" s="989"/>
    </row>
    <row r="20" spans="1:20" x14ac:dyDescent="0.35">
      <c r="A20" s="860"/>
      <c r="B20" s="947" t="s">
        <v>2194</v>
      </c>
      <c r="C20" s="948"/>
      <c r="D20" s="948"/>
      <c r="E20" s="949" t="str" cm="1">
        <f t="array" aca="1" ref="E20" ca="1">IFERROR(SUMIFS(Imponibilesal3,Quietanzasal3,"NO"),"")</f>
        <v/>
      </c>
      <c r="F20" s="2102" t="str">
        <f ca="1">+IFERROR(+IF(E20/K17&gt;30%,"Superato limite del 30% per il 3° SAL previsto dalla normativa",""),"")</f>
        <v/>
      </c>
      <c r="G20" s="2102"/>
      <c r="H20" s="2102"/>
      <c r="I20" s="2102"/>
      <c r="J20" s="2102"/>
      <c r="K20" s="2103"/>
      <c r="L20" s="989"/>
      <c r="M20" s="989"/>
      <c r="N20" s="989"/>
      <c r="O20" s="989"/>
      <c r="P20" s="989"/>
      <c r="Q20" s="989"/>
      <c r="R20" s="989"/>
      <c r="S20" s="989"/>
      <c r="T20" s="989"/>
    </row>
    <row r="21" spans="1:20" x14ac:dyDescent="0.35">
      <c r="A21" s="860"/>
      <c r="B21" s="2144" t="str">
        <f>+CONCATENATE("La somma eventualmente erogata dovrà essere accreditata sul c/c bancario intestato alla Società istituito presso l'istituto di credito ",Anagrafica!C46," - Filiale/Agenzia ",+Anagrafica!C47)</f>
        <v>La somma eventualmente erogata dovrà essere accreditata sul c/c bancario intestato alla Società istituito presso l'istituto di credito BANCA SELLA - Filiale/Agenzia AGENZIA 30</v>
      </c>
      <c r="C21" s="2145"/>
      <c r="D21" s="2145"/>
      <c r="E21" s="2145"/>
      <c r="F21" s="2145"/>
      <c r="G21" s="2145"/>
      <c r="H21" s="2145"/>
      <c r="I21" s="2145"/>
      <c r="J21" s="2145"/>
      <c r="K21" s="2146"/>
      <c r="L21" s="989"/>
      <c r="M21" s="989"/>
      <c r="N21" s="989"/>
      <c r="O21" s="989"/>
      <c r="P21" s="989"/>
      <c r="Q21" s="989"/>
      <c r="R21" s="989"/>
      <c r="S21" s="989"/>
      <c r="T21" s="989"/>
    </row>
    <row r="22" spans="1:20" x14ac:dyDescent="0.35">
      <c r="A22" s="860"/>
      <c r="B22" s="2141" t="str">
        <f>+CONCATENATE("IBAN di riferimento - ",Anagrafica!C50,Anagrafica!D50,Anagrafica!E50,Anagrafica!F50,Anagrafica!G50,Anagrafica!H50)</f>
        <v>IBAN di riferimento - IT</v>
      </c>
      <c r="C22" s="2142"/>
      <c r="D22" s="2142"/>
      <c r="E22" s="2142"/>
      <c r="F22" s="2142"/>
      <c r="G22" s="2142"/>
      <c r="H22" s="2142"/>
      <c r="I22" s="2142"/>
      <c r="J22" s="2142"/>
      <c r="K22" s="2143"/>
      <c r="L22" s="989"/>
      <c r="M22" s="989"/>
      <c r="N22" s="989"/>
      <c r="O22" s="989"/>
      <c r="P22" s="989"/>
      <c r="Q22" s="989"/>
      <c r="R22" s="989"/>
      <c r="S22" s="989"/>
      <c r="T22" s="989"/>
    </row>
    <row r="23" spans="1:20" x14ac:dyDescent="0.35">
      <c r="A23" s="860"/>
      <c r="B23" s="2029" t="s">
        <v>2138</v>
      </c>
      <c r="C23" s="2030"/>
      <c r="D23" s="2030"/>
      <c r="E23" s="2030"/>
      <c r="F23" s="2030"/>
      <c r="G23" s="2030"/>
      <c r="H23" s="2030"/>
      <c r="I23" s="2030"/>
      <c r="J23" s="2030"/>
      <c r="K23" s="2031"/>
      <c r="L23" s="989"/>
      <c r="M23" s="989"/>
      <c r="N23" s="989"/>
      <c r="O23" s="989"/>
      <c r="P23" s="989"/>
      <c r="Q23" s="989"/>
      <c r="R23" s="989"/>
      <c r="S23" s="989"/>
      <c r="T23" s="989"/>
    </row>
    <row r="24" spans="1:20" x14ac:dyDescent="0.35">
      <c r="A24" s="860"/>
      <c r="B24" s="2029"/>
      <c r="C24" s="2030"/>
      <c r="D24" s="2030"/>
      <c r="E24" s="2030"/>
      <c r="F24" s="2030"/>
      <c r="G24" s="2030"/>
      <c r="H24" s="2030"/>
      <c r="I24" s="2030"/>
      <c r="J24" s="2030"/>
      <c r="K24" s="2031"/>
      <c r="L24" s="989"/>
      <c r="M24" s="989"/>
      <c r="N24" s="989"/>
      <c r="O24" s="989"/>
      <c r="P24" s="989"/>
      <c r="Q24" s="989"/>
      <c r="R24" s="989"/>
      <c r="S24" s="989"/>
      <c r="T24" s="989"/>
    </row>
    <row r="25" spans="1:20" ht="15" thickBot="1" x14ac:dyDescent="0.4">
      <c r="A25" s="860"/>
      <c r="B25" s="2032"/>
      <c r="C25" s="2033"/>
      <c r="D25" s="2033"/>
      <c r="E25" s="2033"/>
      <c r="F25" s="2033"/>
      <c r="G25" s="2033"/>
      <c r="H25" s="2033"/>
      <c r="I25" s="2033"/>
      <c r="J25" s="2033"/>
      <c r="K25" s="2034"/>
      <c r="L25" s="989"/>
      <c r="M25" s="989"/>
      <c r="N25" s="989"/>
      <c r="O25" s="989"/>
      <c r="P25" s="989"/>
      <c r="Q25" s="989"/>
      <c r="R25" s="989"/>
      <c r="S25" s="989"/>
      <c r="T25" s="989"/>
    </row>
    <row r="26" spans="1:20" ht="11.25" customHeight="1" thickBot="1" x14ac:dyDescent="0.4">
      <c r="A26" s="860"/>
      <c r="B26" s="860"/>
      <c r="C26" s="860"/>
      <c r="D26" s="860"/>
      <c r="E26" s="860"/>
      <c r="F26" s="860"/>
      <c r="G26" s="860"/>
      <c r="H26" s="860"/>
      <c r="I26" s="860"/>
      <c r="J26" s="860"/>
      <c r="K26" s="860"/>
      <c r="L26" s="989"/>
      <c r="M26" s="989"/>
      <c r="N26" s="989"/>
      <c r="O26" s="989"/>
      <c r="P26" s="989"/>
      <c r="Q26" s="989"/>
      <c r="R26" s="989"/>
      <c r="S26" s="989"/>
      <c r="T26" s="989"/>
    </row>
    <row r="27" spans="1:20" ht="14.25" customHeight="1" thickBot="1" x14ac:dyDescent="0.4">
      <c r="A27" s="860"/>
      <c r="B27" s="2196" t="s">
        <v>2195</v>
      </c>
      <c r="C27" s="1148" t="s">
        <v>564</v>
      </c>
      <c r="D27" s="1149" t="s">
        <v>2140</v>
      </c>
      <c r="E27" s="1149" t="s">
        <v>2141</v>
      </c>
      <c r="F27" s="1149" t="s">
        <v>2142</v>
      </c>
      <c r="G27" s="1149" t="s">
        <v>2143</v>
      </c>
      <c r="H27" s="1149" t="s">
        <v>2144</v>
      </c>
      <c r="I27" s="1150" t="s">
        <v>2145</v>
      </c>
      <c r="J27" s="1151" t="s">
        <v>2146</v>
      </c>
      <c r="K27" s="860"/>
      <c r="L27" s="989"/>
      <c r="M27" s="989"/>
      <c r="N27" s="989"/>
      <c r="O27" s="989"/>
      <c r="P27" s="989"/>
      <c r="Q27" s="989"/>
      <c r="R27" s="989"/>
      <c r="S27" s="989"/>
      <c r="T27" s="989"/>
    </row>
    <row r="28" spans="1:20" ht="18" customHeight="1" thickBot="1" x14ac:dyDescent="0.4">
      <c r="A28" s="860"/>
      <c r="B28" s="2197"/>
      <c r="C28" s="899" t="s">
        <v>2080</v>
      </c>
      <c r="D28" s="900"/>
      <c r="E28" s="1163">
        <v>20</v>
      </c>
      <c r="F28" s="900"/>
      <c r="G28" s="900"/>
      <c r="H28" s="900" t="s">
        <v>2148</v>
      </c>
      <c r="I28" s="1141"/>
      <c r="J28" s="901"/>
      <c r="K28" s="860"/>
      <c r="L28" s="989"/>
      <c r="M28" s="989"/>
      <c r="N28" s="989"/>
      <c r="O28" s="989"/>
      <c r="P28" s="989"/>
      <c r="Q28" s="989"/>
      <c r="R28" s="989"/>
      <c r="S28" s="989"/>
      <c r="T28" s="989"/>
    </row>
    <row r="29" spans="1:20" ht="18.75" customHeight="1" thickBot="1" x14ac:dyDescent="0.4">
      <c r="A29" s="860"/>
      <c r="B29" s="2198"/>
      <c r="C29" s="899" t="s">
        <v>2196</v>
      </c>
      <c r="D29" s="900"/>
      <c r="E29" s="1163">
        <v>20</v>
      </c>
      <c r="F29" s="900"/>
      <c r="G29" s="900"/>
      <c r="H29" s="900" t="s">
        <v>2148</v>
      </c>
      <c r="I29" s="1141"/>
      <c r="J29" s="901"/>
      <c r="K29" s="860"/>
      <c r="L29" s="989"/>
      <c r="M29" s="989"/>
      <c r="N29" s="989"/>
      <c r="O29" s="989"/>
      <c r="P29" s="989"/>
      <c r="Q29" s="989"/>
      <c r="R29" s="989"/>
      <c r="S29" s="989"/>
      <c r="T29" s="989"/>
    </row>
    <row r="30" spans="1:20" ht="15" customHeight="1" thickBot="1" x14ac:dyDescent="0.4">
      <c r="A30" s="860"/>
      <c r="B30" s="860"/>
      <c r="C30" s="860"/>
      <c r="D30" s="860"/>
      <c r="E30" s="860"/>
      <c r="F30" s="860"/>
      <c r="G30" s="860"/>
      <c r="H30" s="860"/>
      <c r="I30" s="860"/>
      <c r="J30" s="860"/>
      <c r="K30" s="860"/>
      <c r="L30" s="989"/>
      <c r="M30" s="989"/>
      <c r="N30" s="989"/>
      <c r="O30" s="989"/>
      <c r="P30" s="989"/>
      <c r="Q30" s="989"/>
      <c r="R30" s="989"/>
      <c r="S30" s="989"/>
      <c r="T30" s="989"/>
    </row>
    <row r="31" spans="1:20" ht="15" customHeight="1" thickBot="1" x14ac:dyDescent="0.4">
      <c r="A31" s="860"/>
      <c r="B31" s="2003" t="s">
        <v>2149</v>
      </c>
      <c r="C31" s="2004"/>
      <c r="D31" s="2004"/>
      <c r="E31" s="2004"/>
      <c r="F31" s="2004"/>
      <c r="G31" s="2004"/>
      <c r="H31" s="2004"/>
      <c r="I31" s="2005"/>
      <c r="J31" s="860"/>
      <c r="K31" s="860"/>
      <c r="L31" s="989"/>
      <c r="M31" s="989"/>
      <c r="N31" s="989"/>
      <c r="O31" s="989"/>
      <c r="P31" s="989"/>
      <c r="Q31" s="989"/>
      <c r="R31" s="989"/>
      <c r="S31" s="989"/>
      <c r="T31" s="989"/>
    </row>
    <row r="32" spans="1:20" ht="15" customHeight="1" thickBot="1" x14ac:dyDescent="0.4">
      <c r="A32" s="860"/>
      <c r="B32" s="1985" t="s">
        <v>2150</v>
      </c>
      <c r="C32" s="1986"/>
      <c r="D32" s="1986"/>
      <c r="E32" s="1986"/>
      <c r="F32" s="1123" t="s">
        <v>2151</v>
      </c>
      <c r="G32" s="2000" t="s">
        <v>574</v>
      </c>
      <c r="H32" s="2001"/>
      <c r="I32" s="2002"/>
      <c r="J32" s="860"/>
      <c r="K32" s="860"/>
      <c r="L32" s="989"/>
      <c r="M32" s="989"/>
      <c r="N32" s="989"/>
      <c r="O32" s="989"/>
      <c r="P32" s="989"/>
      <c r="Q32" s="989"/>
      <c r="R32" s="989"/>
      <c r="S32" s="989"/>
      <c r="T32" s="989"/>
    </row>
    <row r="33" spans="1:20" ht="15" customHeight="1" x14ac:dyDescent="0.35">
      <c r="A33" s="860"/>
      <c r="B33" s="2006" t="str">
        <f>+IF(Anagrafica!$H$6="Società di capitali","ANT 1 - Dichiarazione e Certificato Antimafia Società","ANT 2- Dichiarazione e Certificato Antimafia Cooperative")</f>
        <v>ANT 2- Dichiarazione e Certificato Antimafia Cooperative</v>
      </c>
      <c r="C33" s="2007"/>
      <c r="D33" s="2007"/>
      <c r="E33" s="2008"/>
      <c r="F33" s="1127"/>
      <c r="G33" s="2009"/>
      <c r="H33" s="2010"/>
      <c r="I33" s="2011"/>
      <c r="J33" s="860"/>
      <c r="K33" s="860"/>
      <c r="L33" s="989"/>
      <c r="M33" s="989"/>
      <c r="N33" s="989"/>
      <c r="O33" s="989"/>
      <c r="P33" s="989"/>
      <c r="Q33" s="989"/>
      <c r="R33" s="989"/>
      <c r="S33" s="989"/>
      <c r="T33" s="989"/>
    </row>
    <row r="34" spans="1:20" ht="15" customHeight="1" thickBot="1" x14ac:dyDescent="0.4">
      <c r="A34" s="860"/>
      <c r="B34" s="1991" t="s">
        <v>2152</v>
      </c>
      <c r="C34" s="1992"/>
      <c r="D34" s="1992"/>
      <c r="E34" s="1993"/>
      <c r="F34" s="1128"/>
      <c r="G34" s="1994"/>
      <c r="H34" s="1995"/>
      <c r="I34" s="1996"/>
      <c r="J34" s="860"/>
      <c r="K34" s="860"/>
      <c r="L34" s="989"/>
      <c r="M34" s="989"/>
      <c r="N34" s="989"/>
      <c r="O34" s="989"/>
      <c r="P34" s="989"/>
      <c r="Q34" s="989"/>
      <c r="R34" s="989"/>
      <c r="S34" s="989"/>
      <c r="T34" s="989"/>
    </row>
    <row r="35" spans="1:20" ht="15" customHeight="1" thickBot="1" x14ac:dyDescent="0.4">
      <c r="A35" s="860"/>
      <c r="B35" s="1997" t="s">
        <v>2153</v>
      </c>
      <c r="C35" s="1998"/>
      <c r="D35" s="1998"/>
      <c r="E35" s="1998"/>
      <c r="F35" s="1998"/>
      <c r="G35" s="1998"/>
      <c r="H35" s="1998"/>
      <c r="I35" s="1999"/>
      <c r="J35" s="860"/>
      <c r="K35" s="860"/>
      <c r="L35" s="989"/>
      <c r="M35" s="989"/>
      <c r="N35" s="989"/>
      <c r="O35" s="989"/>
      <c r="P35" s="989"/>
      <c r="Q35" s="989"/>
      <c r="R35" s="989"/>
      <c r="S35" s="989"/>
      <c r="T35" s="989"/>
    </row>
    <row r="36" spans="1:20" ht="15" customHeight="1" x14ac:dyDescent="0.35">
      <c r="A36" s="860"/>
      <c r="B36" s="2119" t="s">
        <v>2154</v>
      </c>
      <c r="C36" s="2120"/>
      <c r="D36" s="2120"/>
      <c r="E36" s="2121"/>
      <c r="F36" s="1161" t="s">
        <v>2151</v>
      </c>
      <c r="G36" s="2122" t="s">
        <v>574</v>
      </c>
      <c r="H36" s="2123"/>
      <c r="I36" s="2124"/>
      <c r="J36" s="860"/>
      <c r="K36" s="860"/>
      <c r="L36" s="989"/>
      <c r="M36" s="989"/>
      <c r="N36" s="989"/>
      <c r="O36" s="989"/>
      <c r="P36" s="989"/>
      <c r="Q36" s="989"/>
      <c r="R36" s="989"/>
      <c r="S36" s="989"/>
      <c r="T36" s="989"/>
    </row>
    <row r="37" spans="1:20" ht="15" customHeight="1" thickBot="1" x14ac:dyDescent="0.4">
      <c r="A37" s="860"/>
      <c r="B37" s="2125" t="s">
        <v>2080</v>
      </c>
      <c r="C37" s="2126"/>
      <c r="D37" s="2126"/>
      <c r="E37" s="2127"/>
      <c r="F37" s="1162"/>
      <c r="G37" s="2128"/>
      <c r="H37" s="2129"/>
      <c r="I37" s="2130"/>
      <c r="J37" s="860"/>
      <c r="K37" s="860"/>
      <c r="L37" s="989"/>
      <c r="M37" s="989"/>
      <c r="N37" s="989"/>
      <c r="O37" s="989"/>
      <c r="P37" s="989"/>
      <c r="Q37" s="989"/>
      <c r="R37" s="989"/>
      <c r="S37" s="989"/>
      <c r="T37" s="989"/>
    </row>
    <row r="38" spans="1:20" ht="15" customHeight="1" thickBot="1" x14ac:dyDescent="0.4">
      <c r="A38" s="860"/>
      <c r="B38" s="2131" t="s">
        <v>2197</v>
      </c>
      <c r="C38" s="2132"/>
      <c r="D38" s="2132"/>
      <c r="E38" s="2132"/>
      <c r="F38" s="1142"/>
      <c r="G38" s="1983"/>
      <c r="H38" s="1983"/>
      <c r="I38" s="1984"/>
      <c r="J38" s="860"/>
      <c r="K38" s="860"/>
      <c r="L38" s="989"/>
      <c r="M38" s="989"/>
      <c r="N38" s="989"/>
      <c r="O38" s="989"/>
      <c r="P38" s="989"/>
      <c r="Q38" s="989"/>
      <c r="R38" s="989"/>
      <c r="S38" s="989"/>
      <c r="T38" s="989"/>
    </row>
    <row r="39" spans="1:20" ht="15" customHeight="1" thickBot="1" x14ac:dyDescent="0.4">
      <c r="A39" s="860"/>
      <c r="B39" s="1129" t="s">
        <v>2156</v>
      </c>
      <c r="C39" s="1130"/>
      <c r="D39" s="1130"/>
      <c r="E39" s="1130"/>
      <c r="F39" s="1130"/>
      <c r="G39" s="1130"/>
      <c r="H39" s="1130"/>
      <c r="I39" s="1131"/>
      <c r="J39" s="860"/>
      <c r="K39" s="860"/>
      <c r="L39" s="989"/>
      <c r="M39" s="989"/>
      <c r="N39" s="989"/>
      <c r="O39" s="989"/>
      <c r="P39" s="989"/>
      <c r="Q39" s="989"/>
      <c r="R39" s="989"/>
      <c r="S39" s="989"/>
      <c r="T39" s="989"/>
    </row>
    <row r="40" spans="1:20" ht="15" customHeight="1" thickBot="1" x14ac:dyDescent="0.4">
      <c r="A40" s="860"/>
      <c r="B40" s="1985" t="s">
        <v>2157</v>
      </c>
      <c r="C40" s="1986"/>
      <c r="D40" s="1986"/>
      <c r="E40" s="1987"/>
      <c r="F40" s="1124" t="s">
        <v>2151</v>
      </c>
      <c r="G40" s="2000" t="s">
        <v>574</v>
      </c>
      <c r="H40" s="2001"/>
      <c r="I40" s="2002"/>
      <c r="J40" s="860"/>
      <c r="K40" s="860"/>
      <c r="L40" s="989"/>
      <c r="M40" s="989"/>
      <c r="N40" s="989"/>
      <c r="O40" s="989"/>
      <c r="P40" s="989"/>
      <c r="Q40" s="989"/>
      <c r="R40" s="989"/>
      <c r="S40" s="989"/>
      <c r="T40" s="989"/>
    </row>
    <row r="41" spans="1:20" ht="15" customHeight="1" x14ac:dyDescent="0.35">
      <c r="A41" s="860"/>
      <c r="B41" s="2012" t="s">
        <v>2158</v>
      </c>
      <c r="C41" s="2013"/>
      <c r="D41" s="2013"/>
      <c r="E41" s="2014"/>
      <c r="F41" s="1125"/>
      <c r="G41" s="2015"/>
      <c r="H41" s="2016"/>
      <c r="I41" s="2017"/>
      <c r="J41" s="860"/>
      <c r="K41" s="860"/>
      <c r="L41" s="989"/>
      <c r="M41" s="989"/>
      <c r="N41" s="989"/>
      <c r="O41" s="989"/>
      <c r="P41" s="989"/>
      <c r="Q41" s="989"/>
      <c r="R41" s="989"/>
      <c r="S41" s="989"/>
      <c r="T41" s="989"/>
    </row>
    <row r="42" spans="1:20" ht="15" customHeight="1" x14ac:dyDescent="0.35">
      <c r="A42" s="860"/>
      <c r="B42" s="2211" t="s">
        <v>2198</v>
      </c>
      <c r="C42" s="2212"/>
      <c r="D42" s="2212"/>
      <c r="E42" s="2213"/>
      <c r="F42" s="1126"/>
      <c r="G42" s="2214"/>
      <c r="H42" s="2215"/>
      <c r="I42" s="2216"/>
      <c r="J42" s="860"/>
      <c r="K42" s="860"/>
      <c r="L42" s="989"/>
      <c r="M42" s="989"/>
      <c r="N42" s="989"/>
      <c r="O42" s="989"/>
      <c r="P42" s="989"/>
      <c r="Q42" s="989"/>
      <c r="R42" s="989"/>
      <c r="S42" s="989"/>
      <c r="T42" s="989"/>
    </row>
    <row r="43" spans="1:20" ht="15" customHeight="1" x14ac:dyDescent="0.35">
      <c r="A43" s="860"/>
      <c r="B43" s="2211" t="s">
        <v>2159</v>
      </c>
      <c r="C43" s="2212"/>
      <c r="D43" s="2212"/>
      <c r="E43" s="2213"/>
      <c r="F43" s="1126"/>
      <c r="G43" s="2214"/>
      <c r="H43" s="2215"/>
      <c r="I43" s="2216"/>
      <c r="J43" s="860"/>
      <c r="K43" s="860"/>
      <c r="L43" s="989"/>
      <c r="M43" s="989"/>
      <c r="N43" s="989"/>
      <c r="O43" s="989"/>
      <c r="P43" s="989"/>
      <c r="Q43" s="989"/>
      <c r="R43" s="989"/>
      <c r="S43" s="989"/>
      <c r="T43" s="989"/>
    </row>
    <row r="44" spans="1:20" ht="15" customHeight="1" x14ac:dyDescent="0.35">
      <c r="A44" s="860"/>
      <c r="B44" s="2211" t="s">
        <v>2199</v>
      </c>
      <c r="C44" s="2212"/>
      <c r="D44" s="2212"/>
      <c r="E44" s="2213"/>
      <c r="F44" s="1126"/>
      <c r="G44" s="2214"/>
      <c r="H44" s="2215"/>
      <c r="I44" s="2216"/>
      <c r="J44" s="860"/>
      <c r="K44" s="860"/>
      <c r="L44" s="989"/>
      <c r="M44" s="989"/>
      <c r="N44" s="989"/>
      <c r="O44" s="989"/>
      <c r="P44" s="989"/>
      <c r="Q44" s="989"/>
      <c r="R44" s="989"/>
      <c r="S44" s="989"/>
      <c r="T44" s="989"/>
    </row>
    <row r="45" spans="1:20" ht="15" customHeight="1" thickBot="1" x14ac:dyDescent="0.4">
      <c r="A45" s="860"/>
      <c r="B45" s="2018" t="s">
        <v>2200</v>
      </c>
      <c r="C45" s="2019"/>
      <c r="D45" s="2019"/>
      <c r="E45" s="2020"/>
      <c r="F45" s="1132"/>
      <c r="G45" s="1994"/>
      <c r="H45" s="1995"/>
      <c r="I45" s="1996"/>
      <c r="J45" s="860"/>
      <c r="K45" s="860"/>
      <c r="L45" s="989"/>
      <c r="M45" s="989"/>
      <c r="N45" s="989"/>
      <c r="O45" s="989"/>
      <c r="P45" s="989"/>
      <c r="Q45" s="989"/>
      <c r="R45" s="989"/>
      <c r="S45" s="989"/>
      <c r="T45" s="989"/>
    </row>
    <row r="46" spans="1:20" ht="15" customHeight="1" thickBot="1" x14ac:dyDescent="0.4">
      <c r="A46" s="860"/>
      <c r="B46" s="2003" t="s">
        <v>2160</v>
      </c>
      <c r="C46" s="2004"/>
      <c r="D46" s="2004"/>
      <c r="E46" s="2004"/>
      <c r="F46" s="2004"/>
      <c r="G46" s="2004"/>
      <c r="H46" s="2004"/>
      <c r="I46" s="2005"/>
      <c r="J46" s="860"/>
      <c r="K46" s="860"/>
      <c r="L46" s="989"/>
      <c r="M46" s="989"/>
      <c r="N46" s="989"/>
      <c r="O46" s="989"/>
      <c r="P46" s="989"/>
      <c r="Q46" s="989"/>
      <c r="R46" s="989"/>
      <c r="S46" s="989"/>
      <c r="T46" s="989"/>
    </row>
    <row r="47" spans="1:20" ht="15" customHeight="1" thickBot="1" x14ac:dyDescent="0.4">
      <c r="A47" s="860"/>
      <c r="B47" s="1985" t="s">
        <v>2161</v>
      </c>
      <c r="C47" s="1986"/>
      <c r="D47" s="1986"/>
      <c r="E47" s="1987"/>
      <c r="F47" s="1124" t="s">
        <v>2151</v>
      </c>
      <c r="G47" s="2000" t="s">
        <v>574</v>
      </c>
      <c r="H47" s="2001"/>
      <c r="I47" s="2002"/>
      <c r="J47" s="860"/>
      <c r="K47" s="860"/>
      <c r="L47" s="989"/>
      <c r="M47" s="989"/>
      <c r="N47" s="989"/>
      <c r="O47" s="989"/>
      <c r="P47" s="989"/>
      <c r="Q47" s="989"/>
      <c r="R47" s="989"/>
      <c r="S47" s="989"/>
      <c r="T47" s="989"/>
    </row>
    <row r="48" spans="1:20" ht="35.15" customHeight="1" x14ac:dyDescent="0.35">
      <c r="A48" s="860"/>
      <c r="B48" s="2116" t="s">
        <v>2162</v>
      </c>
      <c r="C48" s="2117"/>
      <c r="D48" s="2117"/>
      <c r="E48" s="2118"/>
      <c r="F48" s="1136"/>
      <c r="G48" s="1133"/>
      <c r="H48" s="1134"/>
      <c r="I48" s="1135"/>
      <c r="J48" s="860"/>
      <c r="K48" s="860"/>
      <c r="L48" s="989"/>
      <c r="M48" s="989"/>
      <c r="N48" s="989"/>
      <c r="O48" s="989"/>
      <c r="P48" s="989"/>
      <c r="Q48" s="989"/>
      <c r="R48" s="989"/>
      <c r="S48" s="989"/>
      <c r="T48" s="989"/>
    </row>
    <row r="49" spans="1:20" ht="35.15" customHeight="1" x14ac:dyDescent="0.35">
      <c r="A49" s="860"/>
      <c r="B49" s="2110" t="s">
        <v>2201</v>
      </c>
      <c r="C49" s="2111"/>
      <c r="D49" s="2111"/>
      <c r="E49" s="2112"/>
      <c r="F49" s="1208"/>
      <c r="G49" s="2107"/>
      <c r="H49" s="2108"/>
      <c r="I49" s="2109"/>
      <c r="J49" s="860"/>
      <c r="K49" s="860"/>
      <c r="L49" s="989"/>
      <c r="M49" s="989"/>
      <c r="N49" s="989"/>
      <c r="O49" s="989"/>
      <c r="P49" s="989"/>
      <c r="Q49" s="989"/>
      <c r="R49" s="989"/>
      <c r="S49" s="989"/>
      <c r="T49" s="989"/>
    </row>
    <row r="50" spans="1:20" ht="35.15" customHeight="1" x14ac:dyDescent="0.35">
      <c r="A50" s="860"/>
      <c r="B50" s="2110" t="s">
        <v>2202</v>
      </c>
      <c r="C50" s="2111"/>
      <c r="D50" s="2111"/>
      <c r="E50" s="2112"/>
      <c r="F50" s="1208"/>
      <c r="G50" s="2107"/>
      <c r="H50" s="2108"/>
      <c r="I50" s="2109"/>
      <c r="J50" s="860"/>
      <c r="K50" s="860"/>
      <c r="L50" s="989"/>
      <c r="M50" s="989"/>
      <c r="N50" s="989"/>
      <c r="O50" s="989"/>
      <c r="P50" s="989"/>
      <c r="Q50" s="989"/>
      <c r="R50" s="989"/>
      <c r="S50" s="989"/>
      <c r="T50" s="989"/>
    </row>
    <row r="51" spans="1:20" ht="35.15" customHeight="1" x14ac:dyDescent="0.35">
      <c r="A51" s="860"/>
      <c r="B51" s="2110" t="s">
        <v>2203</v>
      </c>
      <c r="C51" s="2111"/>
      <c r="D51" s="2111"/>
      <c r="E51" s="2112"/>
      <c r="F51" s="1208"/>
      <c r="G51" s="2107"/>
      <c r="H51" s="2108"/>
      <c r="I51" s="2109"/>
      <c r="J51" s="860"/>
      <c r="K51" s="860"/>
      <c r="L51" s="989"/>
      <c r="M51" s="989"/>
      <c r="N51" s="989"/>
      <c r="O51" s="989"/>
      <c r="P51" s="989"/>
      <c r="Q51" s="989"/>
      <c r="R51" s="989"/>
      <c r="S51" s="989"/>
      <c r="T51" s="989"/>
    </row>
    <row r="52" spans="1:20" ht="35.15" customHeight="1" x14ac:dyDescent="0.35">
      <c r="A52" s="860"/>
      <c r="B52" s="2110" t="s">
        <v>2204</v>
      </c>
      <c r="C52" s="2111"/>
      <c r="D52" s="2111"/>
      <c r="E52" s="2112"/>
      <c r="F52" s="1208"/>
      <c r="G52" s="2107"/>
      <c r="H52" s="2108"/>
      <c r="I52" s="2109"/>
      <c r="J52" s="860"/>
      <c r="K52" s="860"/>
      <c r="L52" s="989"/>
      <c r="M52" s="989"/>
      <c r="N52" s="989"/>
      <c r="O52" s="989"/>
      <c r="P52" s="989"/>
      <c r="Q52" s="989"/>
      <c r="R52" s="989"/>
      <c r="S52" s="989"/>
      <c r="T52" s="989"/>
    </row>
    <row r="53" spans="1:20" ht="35.15" customHeight="1" x14ac:dyDescent="0.35">
      <c r="A53" s="860"/>
      <c r="B53" s="2110" t="s">
        <v>2205</v>
      </c>
      <c r="C53" s="2111"/>
      <c r="D53" s="2111"/>
      <c r="E53" s="2112"/>
      <c r="F53" s="1208"/>
      <c r="G53" s="2107"/>
      <c r="H53" s="2108"/>
      <c r="I53" s="2109"/>
      <c r="J53" s="860"/>
      <c r="K53" s="860"/>
      <c r="L53" s="989"/>
      <c r="M53" s="989"/>
      <c r="N53" s="989"/>
      <c r="O53" s="989"/>
      <c r="P53" s="989"/>
      <c r="Q53" s="989"/>
      <c r="R53" s="989"/>
      <c r="S53" s="989"/>
      <c r="T53" s="989"/>
    </row>
    <row r="54" spans="1:20" ht="35.15" customHeight="1" x14ac:dyDescent="0.35">
      <c r="A54" s="860"/>
      <c r="B54" s="2104" t="s">
        <v>2206</v>
      </c>
      <c r="C54" s="2105"/>
      <c r="D54" s="2105"/>
      <c r="E54" s="2106"/>
      <c r="F54" s="1137"/>
      <c r="G54" s="2107"/>
      <c r="H54" s="2108"/>
      <c r="I54" s="2109"/>
      <c r="J54" s="860"/>
      <c r="K54" s="860"/>
      <c r="L54" s="989"/>
      <c r="M54" s="989"/>
      <c r="N54" s="989"/>
      <c r="O54" s="989"/>
      <c r="P54" s="989"/>
      <c r="Q54" s="989"/>
      <c r="R54" s="989"/>
      <c r="S54" s="989"/>
      <c r="T54" s="989"/>
    </row>
    <row r="55" spans="1:20" ht="35.15" customHeight="1" x14ac:dyDescent="0.35">
      <c r="A55" s="860"/>
      <c r="B55" s="2104" t="s">
        <v>2207</v>
      </c>
      <c r="C55" s="2105"/>
      <c r="D55" s="2105"/>
      <c r="E55" s="2106"/>
      <c r="F55" s="1137"/>
      <c r="G55" s="2107"/>
      <c r="H55" s="2108"/>
      <c r="I55" s="2109"/>
      <c r="J55" s="860"/>
      <c r="K55" s="860"/>
      <c r="L55" s="989"/>
      <c r="M55" s="989"/>
      <c r="N55" s="989"/>
      <c r="O55" s="989"/>
      <c r="P55" s="989"/>
      <c r="Q55" s="989"/>
      <c r="R55" s="989"/>
      <c r="S55" s="989"/>
      <c r="T55" s="989"/>
    </row>
    <row r="56" spans="1:20" ht="35.15" customHeight="1" x14ac:dyDescent="0.35">
      <c r="A56" s="860"/>
      <c r="B56" s="2104" t="s">
        <v>2208</v>
      </c>
      <c r="C56" s="2105"/>
      <c r="D56" s="2105"/>
      <c r="E56" s="2106"/>
      <c r="F56" s="1137"/>
      <c r="G56" s="2107"/>
      <c r="H56" s="2108"/>
      <c r="I56" s="2109"/>
      <c r="J56" s="860"/>
      <c r="K56" s="860"/>
      <c r="L56" s="989"/>
      <c r="M56" s="989"/>
      <c r="N56" s="989"/>
      <c r="O56" s="989"/>
      <c r="P56" s="989"/>
      <c r="Q56" s="989"/>
      <c r="R56" s="989"/>
      <c r="S56" s="989"/>
      <c r="T56" s="989"/>
    </row>
    <row r="57" spans="1:20" ht="36" customHeight="1" x14ac:dyDescent="0.35">
      <c r="A57" s="860"/>
      <c r="B57" s="2113" t="s">
        <v>2209</v>
      </c>
      <c r="C57" s="2114"/>
      <c r="D57" s="2114"/>
      <c r="E57" s="2115"/>
      <c r="F57" s="1137"/>
      <c r="G57" s="2107"/>
      <c r="H57" s="2108"/>
      <c r="I57" s="2109"/>
      <c r="J57" s="860"/>
      <c r="K57" s="860"/>
      <c r="L57" s="989"/>
      <c r="M57" s="989"/>
      <c r="N57" s="989"/>
      <c r="O57" s="989"/>
      <c r="P57" s="989"/>
      <c r="Q57" s="989"/>
      <c r="R57" s="989"/>
      <c r="S57" s="989"/>
      <c r="T57" s="989"/>
    </row>
    <row r="58" spans="1:20" ht="35.15" customHeight="1" x14ac:dyDescent="0.35">
      <c r="A58" s="860"/>
      <c r="B58" s="2110" t="s">
        <v>2212</v>
      </c>
      <c r="C58" s="2111"/>
      <c r="D58" s="2111"/>
      <c r="E58" s="2112"/>
      <c r="F58" s="1137"/>
      <c r="G58" s="2107"/>
      <c r="H58" s="2108"/>
      <c r="I58" s="2109"/>
      <c r="J58" s="860"/>
      <c r="K58" s="860"/>
      <c r="L58" s="989"/>
      <c r="M58" s="989"/>
      <c r="N58" s="989"/>
      <c r="O58" s="989"/>
      <c r="P58" s="989"/>
      <c r="Q58" s="989"/>
      <c r="R58" s="989"/>
      <c r="S58" s="989"/>
      <c r="T58" s="989"/>
    </row>
    <row r="59" spans="1:20" ht="102.75" customHeight="1" x14ac:dyDescent="0.35">
      <c r="A59" s="860"/>
      <c r="B59" s="2110" t="s">
        <v>2270</v>
      </c>
      <c r="C59" s="2111"/>
      <c r="D59" s="2111"/>
      <c r="E59" s="2112"/>
      <c r="F59" s="1137"/>
      <c r="G59" s="2107"/>
      <c r="H59" s="2108"/>
      <c r="I59" s="2109"/>
      <c r="J59" s="860"/>
      <c r="K59" s="860"/>
      <c r="L59" s="989"/>
      <c r="M59" s="989"/>
      <c r="N59" s="989"/>
      <c r="O59" s="989"/>
      <c r="P59" s="989"/>
      <c r="Q59" s="989"/>
      <c r="R59" s="989"/>
      <c r="S59" s="989"/>
      <c r="T59" s="989"/>
    </row>
    <row r="60" spans="1:20" ht="35.15" customHeight="1" x14ac:dyDescent="0.35">
      <c r="A60" s="860"/>
      <c r="B60" s="2110" t="s">
        <v>2214</v>
      </c>
      <c r="C60" s="2111"/>
      <c r="D60" s="2111"/>
      <c r="E60" s="2112"/>
      <c r="F60" s="1137"/>
      <c r="G60" s="2107"/>
      <c r="H60" s="2108"/>
      <c r="I60" s="2109"/>
      <c r="J60" s="860"/>
      <c r="K60" s="860"/>
      <c r="L60" s="989"/>
      <c r="M60" s="989"/>
      <c r="N60" s="989"/>
      <c r="O60" s="989"/>
      <c r="P60" s="989"/>
      <c r="Q60" s="989"/>
      <c r="R60" s="989"/>
      <c r="S60" s="989"/>
      <c r="T60" s="989"/>
    </row>
    <row r="61" spans="1:20" ht="73.5" customHeight="1" thickBot="1" x14ac:dyDescent="0.4">
      <c r="A61" s="860"/>
      <c r="B61" s="2096" t="s">
        <v>2215</v>
      </c>
      <c r="C61" s="2097"/>
      <c r="D61" s="2097"/>
      <c r="E61" s="2098"/>
      <c r="F61" s="1207"/>
      <c r="G61" s="2099"/>
      <c r="H61" s="2100"/>
      <c r="I61" s="2101"/>
      <c r="J61" s="860"/>
      <c r="K61" s="860"/>
      <c r="L61" s="989"/>
      <c r="M61" s="989"/>
      <c r="N61" s="989"/>
      <c r="O61" s="989"/>
      <c r="P61" s="989"/>
      <c r="Q61" s="989"/>
      <c r="R61" s="989"/>
      <c r="S61" s="989"/>
      <c r="T61" s="989"/>
    </row>
    <row r="62" spans="1:20" ht="11.25" customHeight="1" x14ac:dyDescent="0.35">
      <c r="A62" s="860"/>
      <c r="B62" s="860"/>
      <c r="C62" s="860"/>
      <c r="D62" s="860"/>
      <c r="E62" s="860"/>
      <c r="F62" s="860"/>
      <c r="G62" s="860"/>
      <c r="H62" s="860"/>
      <c r="I62" s="860"/>
      <c r="J62" s="860"/>
      <c r="K62" s="860"/>
      <c r="L62" s="989"/>
      <c r="M62" s="989"/>
      <c r="N62" s="989"/>
      <c r="O62" s="989"/>
      <c r="P62" s="989"/>
      <c r="Q62" s="989"/>
      <c r="R62" s="989"/>
      <c r="S62" s="989"/>
      <c r="T62" s="989"/>
    </row>
    <row r="63" spans="1:20" ht="11.25" customHeight="1" x14ac:dyDescent="0.35">
      <c r="A63" s="860"/>
      <c r="B63" s="860"/>
      <c r="C63" s="860"/>
      <c r="D63" s="860"/>
      <c r="E63" s="860"/>
      <c r="F63" s="860"/>
      <c r="G63" s="860"/>
      <c r="H63" s="860"/>
      <c r="I63" s="860"/>
      <c r="J63" s="860"/>
      <c r="K63" s="860"/>
      <c r="L63" s="989"/>
      <c r="M63" s="989"/>
      <c r="N63" s="989"/>
      <c r="O63" s="989"/>
      <c r="P63" s="989"/>
      <c r="Q63" s="989"/>
      <c r="R63" s="989"/>
      <c r="S63" s="989"/>
      <c r="T63" s="989"/>
    </row>
    <row r="64" spans="1:20" ht="15" thickBot="1" x14ac:dyDescent="0.4">
      <c r="A64" s="860"/>
      <c r="B64" s="860"/>
      <c r="C64" s="860"/>
      <c r="D64" s="860"/>
      <c r="E64" s="860"/>
      <c r="F64" s="860"/>
      <c r="G64" s="860"/>
      <c r="H64" s="860"/>
      <c r="I64" s="860"/>
      <c r="J64" s="860"/>
      <c r="K64" s="860"/>
      <c r="L64" s="989"/>
      <c r="M64" s="989"/>
      <c r="N64" s="989"/>
      <c r="O64" s="989"/>
      <c r="P64" s="989"/>
      <c r="Q64" s="989"/>
      <c r="R64" s="989"/>
      <c r="S64" s="989"/>
      <c r="T64" s="989"/>
    </row>
    <row r="65" spans="1:20" ht="15" thickBot="1" x14ac:dyDescent="0.4">
      <c r="A65" s="860"/>
      <c r="B65" s="2163" t="s">
        <v>2216</v>
      </c>
      <c r="C65" s="2164"/>
      <c r="D65" s="2164"/>
      <c r="E65" s="2164"/>
      <c r="F65" s="2164"/>
      <c r="G65" s="2164"/>
      <c r="H65" s="2164"/>
      <c r="I65" s="2164"/>
      <c r="J65" s="2164"/>
      <c r="K65" s="2164"/>
      <c r="L65" s="2164"/>
      <c r="M65" s="2164"/>
      <c r="N65" s="2164"/>
      <c r="O65" s="2164"/>
      <c r="P65" s="2164"/>
      <c r="Q65" s="2164"/>
      <c r="R65" s="2164"/>
      <c r="S65" s="2164"/>
      <c r="T65" s="2165"/>
    </row>
    <row r="66" spans="1:20" x14ac:dyDescent="0.35">
      <c r="A66" s="860"/>
      <c r="B66" s="950" t="s">
        <v>2217</v>
      </c>
      <c r="C66" s="860"/>
      <c r="D66" s="860"/>
      <c r="E66" s="860"/>
      <c r="F66" s="860"/>
      <c r="G66" s="860"/>
      <c r="H66" s="860"/>
      <c r="I66" s="860"/>
      <c r="J66" s="860"/>
      <c r="K66" s="860"/>
      <c r="L66" s="989"/>
      <c r="M66" s="989"/>
      <c r="N66" s="989"/>
      <c r="O66" s="989"/>
      <c r="P66" s="989"/>
      <c r="Q66" s="989"/>
      <c r="R66" s="989"/>
      <c r="S66" s="989"/>
      <c r="T66" s="989"/>
    </row>
    <row r="67" spans="1:20" x14ac:dyDescent="0.35">
      <c r="A67" s="860"/>
      <c r="B67" s="951" t="e">
        <f>+CONCATENATE("Il valore minimo rendicontabile per è pari ad € ",TEXT(K17*0.1,"#.##0,00")," ed il valore delle fatture non quietanzate non può essere superiore ad € ",TEXT(K17*0.2,"#.##0,00"))</f>
        <v>#VALUE!</v>
      </c>
      <c r="C67" s="951"/>
      <c r="D67" s="951"/>
      <c r="E67" s="951"/>
      <c r="F67" s="951"/>
      <c r="G67" s="951"/>
      <c r="H67" s="951"/>
      <c r="I67" s="951"/>
      <c r="J67" s="951"/>
      <c r="K67" s="951"/>
      <c r="L67" s="989"/>
      <c r="M67" s="989"/>
      <c r="N67" s="989"/>
      <c r="O67" s="989"/>
      <c r="P67" s="989"/>
      <c r="Q67" s="989"/>
      <c r="R67" s="989"/>
      <c r="S67" s="989"/>
      <c r="T67" s="989"/>
    </row>
    <row r="68" spans="1:20" ht="15" thickBot="1" x14ac:dyDescent="0.4">
      <c r="A68" s="860"/>
      <c r="B68" s="950"/>
      <c r="C68" s="860"/>
      <c r="D68" s="860"/>
      <c r="E68" s="860"/>
      <c r="F68" s="860"/>
      <c r="G68" s="860"/>
      <c r="H68" s="860"/>
      <c r="I68" s="860"/>
      <c r="J68" s="860"/>
      <c r="K68" s="860"/>
      <c r="L68" s="989"/>
      <c r="M68" s="989"/>
      <c r="N68" s="989"/>
      <c r="O68" s="989"/>
      <c r="P68" s="989"/>
      <c r="Q68" s="989"/>
      <c r="R68" s="989"/>
      <c r="S68" s="989"/>
      <c r="T68" s="989"/>
    </row>
    <row r="69" spans="1:20" ht="23.5" thickBot="1" x14ac:dyDescent="0.4">
      <c r="A69" s="860"/>
      <c r="B69" s="993" t="s">
        <v>2218</v>
      </c>
      <c r="C69" s="952" t="s">
        <v>2219</v>
      </c>
      <c r="D69" s="952" t="s">
        <v>2220</v>
      </c>
      <c r="E69" s="952" t="s">
        <v>2221</v>
      </c>
      <c r="F69" s="952" t="s">
        <v>2222</v>
      </c>
      <c r="G69" s="952" t="s">
        <v>2223</v>
      </c>
      <c r="H69" s="974" t="s">
        <v>2224</v>
      </c>
      <c r="I69" s="974" t="s">
        <v>2225</v>
      </c>
      <c r="J69" s="994" t="s">
        <v>2067</v>
      </c>
      <c r="K69" s="952" t="s">
        <v>2226</v>
      </c>
      <c r="L69" s="974" t="s">
        <v>2069</v>
      </c>
      <c r="M69" s="974" t="s">
        <v>2227</v>
      </c>
      <c r="N69" s="974" t="s">
        <v>2228</v>
      </c>
      <c r="O69" s="974" t="s">
        <v>2229</v>
      </c>
      <c r="P69" s="974" t="s">
        <v>2230</v>
      </c>
      <c r="Q69" s="974" t="s">
        <v>2231</v>
      </c>
      <c r="R69" s="2180" t="s">
        <v>574</v>
      </c>
      <c r="S69" s="2181"/>
      <c r="T69" s="989"/>
    </row>
    <row r="70" spans="1:20" ht="26.25" customHeight="1" x14ac:dyDescent="0.35">
      <c r="A70" s="860"/>
      <c r="B70" s="953"/>
      <c r="C70" s="954"/>
      <c r="D70" s="955"/>
      <c r="E70" s="954"/>
      <c r="F70" s="957"/>
      <c r="G70" s="956"/>
      <c r="H70" s="1020"/>
      <c r="I70" s="985"/>
      <c r="J70" s="1059"/>
      <c r="K70" s="995"/>
      <c r="L70" s="985"/>
      <c r="M70" s="985"/>
      <c r="N70" s="985"/>
      <c r="O70" s="985"/>
      <c r="P70" s="985"/>
      <c r="Q70" s="985"/>
      <c r="R70" s="2188"/>
      <c r="S70" s="2189"/>
      <c r="T70" s="989"/>
    </row>
    <row r="71" spans="1:20" ht="31.5" customHeight="1" x14ac:dyDescent="0.35">
      <c r="A71" s="860"/>
      <c r="B71" s="1005"/>
      <c r="C71" s="992"/>
      <c r="D71" s="1006"/>
      <c r="E71" s="992"/>
      <c r="F71" s="995"/>
      <c r="G71" s="1007"/>
      <c r="H71" s="1021"/>
      <c r="I71" s="1008"/>
      <c r="J71" s="1060"/>
      <c r="K71" s="995"/>
      <c r="L71" s="1008"/>
      <c r="M71" s="1008"/>
      <c r="N71" s="1008"/>
      <c r="O71" s="1008"/>
      <c r="P71" s="1008"/>
      <c r="Q71" s="1008"/>
      <c r="R71" s="2190"/>
      <c r="S71" s="2191"/>
      <c r="T71" s="989"/>
    </row>
    <row r="72" spans="1:20" ht="60.75" customHeight="1" x14ac:dyDescent="0.35">
      <c r="A72" s="860"/>
      <c r="B72" s="1005"/>
      <c r="C72" s="992"/>
      <c r="D72" s="1006"/>
      <c r="E72" s="992"/>
      <c r="F72" s="995"/>
      <c r="G72" s="1007"/>
      <c r="H72" s="1021"/>
      <c r="I72" s="1008"/>
      <c r="J72" s="1060"/>
      <c r="K72" s="995"/>
      <c r="L72" s="1008"/>
      <c r="M72" s="1008"/>
      <c r="N72" s="1008"/>
      <c r="O72" s="1008"/>
      <c r="P72" s="1008"/>
      <c r="Q72" s="1008"/>
      <c r="R72" s="2190"/>
      <c r="S72" s="2191"/>
      <c r="T72" s="989"/>
    </row>
    <row r="73" spans="1:20" ht="30.75" customHeight="1" x14ac:dyDescent="0.35">
      <c r="A73" s="860"/>
      <c r="B73" s="1005"/>
      <c r="C73" s="992"/>
      <c r="D73" s="1006"/>
      <c r="E73" s="992"/>
      <c r="F73" s="995"/>
      <c r="G73" s="1007"/>
      <c r="H73" s="1021"/>
      <c r="I73" s="1008"/>
      <c r="J73" s="1060"/>
      <c r="K73" s="995"/>
      <c r="L73" s="1008"/>
      <c r="M73" s="1008"/>
      <c r="N73" s="1008"/>
      <c r="O73" s="1008"/>
      <c r="P73" s="1008"/>
      <c r="Q73" s="1008"/>
      <c r="R73" s="2190"/>
      <c r="S73" s="2191"/>
      <c r="T73" s="989"/>
    </row>
    <row r="74" spans="1:20" ht="45" customHeight="1" x14ac:dyDescent="0.35">
      <c r="A74" s="860"/>
      <c r="B74" s="958"/>
      <c r="C74" s="959"/>
      <c r="D74" s="960"/>
      <c r="E74" s="959"/>
      <c r="F74" s="962"/>
      <c r="G74" s="961"/>
      <c r="H74" s="1022"/>
      <c r="I74" s="986"/>
      <c r="J74" s="1061"/>
      <c r="K74" s="962"/>
      <c r="L74" s="986"/>
      <c r="M74" s="986"/>
      <c r="N74" s="986"/>
      <c r="O74" s="986"/>
      <c r="P74" s="986"/>
      <c r="Q74" s="986"/>
      <c r="R74" s="2190"/>
      <c r="S74" s="2191"/>
      <c r="T74" s="989"/>
    </row>
    <row r="75" spans="1:20" ht="35.25" customHeight="1" thickBot="1" x14ac:dyDescent="0.4">
      <c r="A75" s="860"/>
      <c r="B75" s="963"/>
      <c r="C75" s="964"/>
      <c r="D75" s="965"/>
      <c r="E75" s="964"/>
      <c r="F75" s="967"/>
      <c r="G75" s="966"/>
      <c r="H75" s="1023"/>
      <c r="I75" s="987"/>
      <c r="J75" s="1062"/>
      <c r="K75" s="996"/>
      <c r="L75" s="987"/>
      <c r="M75" s="987"/>
      <c r="N75" s="987"/>
      <c r="O75" s="987"/>
      <c r="P75" s="987"/>
      <c r="Q75" s="987"/>
      <c r="R75" s="2192"/>
      <c r="S75" s="2193"/>
      <c r="T75" s="989"/>
    </row>
    <row r="76" spans="1:20" ht="15" thickBot="1" x14ac:dyDescent="0.4">
      <c r="A76" s="860"/>
      <c r="B76" s="968"/>
      <c r="C76" s="969"/>
      <c r="D76" s="969"/>
      <c r="E76" s="981"/>
      <c r="F76" s="1029">
        <f>SUM(F70:F75)</f>
        <v>0</v>
      </c>
      <c r="G76" s="1029">
        <f t="shared" ref="G76:H76" si="0">SUM(G70:G75)</f>
        <v>0</v>
      </c>
      <c r="H76" s="1029">
        <f t="shared" si="0"/>
        <v>0</v>
      </c>
      <c r="I76" s="1030"/>
      <c r="J76" s="974"/>
      <c r="K76" s="1029">
        <f>+SUM(K70:K75)</f>
        <v>0</v>
      </c>
      <c r="L76" s="1030">
        <f>+SUM(L70:L75)</f>
        <v>0</v>
      </c>
      <c r="M76" s="991"/>
      <c r="N76" s="991"/>
      <c r="O76" s="991"/>
      <c r="P76" s="991"/>
      <c r="Q76" s="991"/>
      <c r="R76" s="2178"/>
      <c r="S76" s="2179"/>
      <c r="T76" s="989"/>
    </row>
    <row r="77" spans="1:20" x14ac:dyDescent="0.35">
      <c r="A77" s="860"/>
      <c r="B77" s="860"/>
      <c r="C77" s="860"/>
      <c r="D77" s="860"/>
      <c r="E77" s="860"/>
      <c r="F77" s="860"/>
      <c r="G77" s="860"/>
      <c r="H77" s="860"/>
      <c r="I77" s="860"/>
      <c r="J77" s="860"/>
      <c r="K77" s="860"/>
      <c r="L77" s="989"/>
      <c r="M77" s="989"/>
      <c r="N77" s="989"/>
      <c r="O77" s="989"/>
      <c r="P77" s="989"/>
      <c r="Q77" s="989"/>
      <c r="R77" s="989"/>
      <c r="S77" s="989"/>
      <c r="T77" s="989"/>
    </row>
    <row r="78" spans="1:20" ht="15" thickBot="1" x14ac:dyDescent="0.4">
      <c r="A78" s="860"/>
      <c r="B78" s="998" t="s">
        <v>2232</v>
      </c>
      <c r="C78" s="860"/>
      <c r="D78" s="860"/>
      <c r="E78" s="860"/>
      <c r="F78" s="860"/>
      <c r="G78" s="860"/>
      <c r="H78" s="860"/>
      <c r="I78" s="860"/>
      <c r="J78" s="860"/>
      <c r="K78" s="860"/>
      <c r="L78" s="989"/>
      <c r="M78" s="989"/>
      <c r="N78" s="989"/>
      <c r="O78" s="989"/>
      <c r="P78" s="989"/>
      <c r="Q78" s="989"/>
      <c r="R78" s="989"/>
      <c r="S78" s="989"/>
      <c r="T78" s="989"/>
    </row>
    <row r="79" spans="1:20" x14ac:dyDescent="0.35">
      <c r="A79" s="860"/>
      <c r="B79" s="2169"/>
      <c r="C79" s="2170"/>
      <c r="D79" s="2170"/>
      <c r="E79" s="2170"/>
      <c r="F79" s="2170"/>
      <c r="G79" s="2170"/>
      <c r="H79" s="2170"/>
      <c r="I79" s="2170"/>
      <c r="J79" s="2170"/>
      <c r="K79" s="2170"/>
      <c r="L79" s="2170"/>
      <c r="M79" s="2170"/>
      <c r="N79" s="2170"/>
      <c r="O79" s="2170"/>
      <c r="P79" s="2170"/>
      <c r="Q79" s="2170"/>
      <c r="R79" s="2170"/>
      <c r="S79" s="2171"/>
      <c r="T79" s="989"/>
    </row>
    <row r="80" spans="1:20" x14ac:dyDescent="0.35">
      <c r="A80" s="860"/>
      <c r="B80" s="2172"/>
      <c r="C80" s="2173"/>
      <c r="D80" s="2173"/>
      <c r="E80" s="2173"/>
      <c r="F80" s="2173"/>
      <c r="G80" s="2173"/>
      <c r="H80" s="2173"/>
      <c r="I80" s="2173"/>
      <c r="J80" s="2173"/>
      <c r="K80" s="2173"/>
      <c r="L80" s="2173"/>
      <c r="M80" s="2173"/>
      <c r="N80" s="2173"/>
      <c r="O80" s="2173"/>
      <c r="P80" s="2173"/>
      <c r="Q80" s="2173"/>
      <c r="R80" s="2173"/>
      <c r="S80" s="2174"/>
      <c r="T80" s="989"/>
    </row>
    <row r="81" spans="1:20" x14ac:dyDescent="0.35">
      <c r="A81" s="860"/>
      <c r="B81" s="2172"/>
      <c r="C81" s="2173"/>
      <c r="D81" s="2173"/>
      <c r="E81" s="2173"/>
      <c r="F81" s="2173"/>
      <c r="G81" s="2173"/>
      <c r="H81" s="2173"/>
      <c r="I81" s="2173"/>
      <c r="J81" s="2173"/>
      <c r="K81" s="2173"/>
      <c r="L81" s="2173"/>
      <c r="M81" s="2173"/>
      <c r="N81" s="2173"/>
      <c r="O81" s="2173"/>
      <c r="P81" s="2173"/>
      <c r="Q81" s="2173"/>
      <c r="R81" s="2173"/>
      <c r="S81" s="2174"/>
      <c r="T81" s="989"/>
    </row>
    <row r="82" spans="1:20" x14ac:dyDescent="0.35">
      <c r="A82" s="860"/>
      <c r="B82" s="2172"/>
      <c r="C82" s="2173"/>
      <c r="D82" s="2173"/>
      <c r="E82" s="2173"/>
      <c r="F82" s="2173"/>
      <c r="G82" s="2173"/>
      <c r="H82" s="2173"/>
      <c r="I82" s="2173"/>
      <c r="J82" s="2173"/>
      <c r="K82" s="2173"/>
      <c r="L82" s="2173"/>
      <c r="M82" s="2173"/>
      <c r="N82" s="2173"/>
      <c r="O82" s="2173"/>
      <c r="P82" s="2173"/>
      <c r="Q82" s="2173"/>
      <c r="R82" s="2173"/>
      <c r="S82" s="2174"/>
      <c r="T82" s="989"/>
    </row>
    <row r="83" spans="1:20" ht="15" thickBot="1" x14ac:dyDescent="0.4">
      <c r="A83" s="860"/>
      <c r="B83" s="2166"/>
      <c r="C83" s="2167"/>
      <c r="D83" s="2167"/>
      <c r="E83" s="2167"/>
      <c r="F83" s="2167"/>
      <c r="G83" s="2167"/>
      <c r="H83" s="2167"/>
      <c r="I83" s="2167"/>
      <c r="J83" s="2167"/>
      <c r="K83" s="2167"/>
      <c r="L83" s="2167"/>
      <c r="M83" s="2167"/>
      <c r="N83" s="2167"/>
      <c r="O83" s="2167"/>
      <c r="P83" s="2167"/>
      <c r="Q83" s="2167"/>
      <c r="R83" s="2167"/>
      <c r="S83" s="2168"/>
      <c r="T83" s="989"/>
    </row>
    <row r="84" spans="1:20" ht="15" thickBot="1" x14ac:dyDescent="0.4">
      <c r="A84" s="860"/>
      <c r="B84" s="860"/>
      <c r="C84" s="860"/>
      <c r="D84" s="860"/>
      <c r="E84" s="860"/>
      <c r="F84" s="860"/>
      <c r="G84" s="860"/>
      <c r="H84" s="860"/>
      <c r="I84" s="860"/>
      <c r="J84" s="860"/>
      <c r="K84" s="860"/>
      <c r="L84" s="989"/>
      <c r="M84" s="989"/>
      <c r="N84" s="989"/>
      <c r="O84" s="989"/>
      <c r="P84" s="989"/>
      <c r="Q84" s="989"/>
      <c r="R84" s="989"/>
      <c r="S84" s="989"/>
      <c r="T84" s="989"/>
    </row>
    <row r="85" spans="1:20" ht="15" thickBot="1" x14ac:dyDescent="0.4">
      <c r="A85" s="860"/>
      <c r="B85" s="970" t="s">
        <v>2233</v>
      </c>
      <c r="C85" s="971"/>
      <c r="D85" s="972"/>
      <c r="E85" s="973" t="s">
        <v>1563</v>
      </c>
      <c r="F85" s="1031" t="str">
        <f>+IF(AND(E85="Si",Anagrafica!$C$31=0),"Non è prevista la spesa per capitale circolante netto","")</f>
        <v/>
      </c>
      <c r="G85" s="860"/>
      <c r="H85" s="860"/>
      <c r="I85" s="860"/>
      <c r="J85" s="860"/>
      <c r="K85" s="860"/>
      <c r="L85" s="989"/>
      <c r="M85" s="989"/>
      <c r="N85" s="989"/>
      <c r="O85" s="989"/>
      <c r="P85" s="989"/>
      <c r="Q85" s="989"/>
      <c r="R85" s="989"/>
      <c r="S85" s="989"/>
      <c r="T85" s="989"/>
    </row>
    <row r="86" spans="1:20" ht="15" thickBot="1" x14ac:dyDescent="0.4">
      <c r="A86" s="860"/>
      <c r="B86" s="2175" t="s">
        <v>2234</v>
      </c>
      <c r="C86" s="2176"/>
      <c r="D86" s="2177"/>
      <c r="E86" s="1026">
        <v>0</v>
      </c>
      <c r="F86" s="860"/>
      <c r="G86" s="860"/>
      <c r="H86" s="860"/>
      <c r="I86" s="860"/>
      <c r="J86" s="860"/>
      <c r="K86" s="860"/>
      <c r="L86" s="989"/>
      <c r="M86" s="989"/>
      <c r="N86" s="989"/>
      <c r="O86" s="989"/>
      <c r="P86" s="989"/>
      <c r="Q86" s="989"/>
      <c r="R86" s="989"/>
      <c r="S86" s="989"/>
      <c r="T86" s="989"/>
    </row>
    <row r="87" spans="1:20" ht="15" thickBot="1" x14ac:dyDescent="0.4">
      <c r="A87" s="860"/>
      <c r="B87" s="2175" t="s">
        <v>2235</v>
      </c>
      <c r="C87" s="2176"/>
      <c r="D87" s="2177"/>
      <c r="E87" s="1120">
        <f>+IF($E$85="NO",0,IF(E86&lt;=L76*0.2,E86,(E86/F76)*L76))</f>
        <v>0</v>
      </c>
      <c r="F87" s="860"/>
      <c r="G87" s="860"/>
      <c r="H87" s="860"/>
      <c r="I87" s="860"/>
      <c r="J87" s="860"/>
      <c r="K87" s="860"/>
      <c r="L87" s="989"/>
      <c r="M87" s="989"/>
      <c r="N87" s="989"/>
      <c r="O87" s="989"/>
      <c r="P87" s="989"/>
      <c r="Q87" s="989"/>
      <c r="R87" s="989"/>
      <c r="S87" s="989"/>
      <c r="T87" s="989"/>
    </row>
    <row r="88" spans="1:20" x14ac:dyDescent="0.35">
      <c r="A88" s="860"/>
      <c r="B88" s="860"/>
      <c r="C88" s="860"/>
      <c r="D88" s="860"/>
      <c r="E88" s="860"/>
      <c r="F88" s="860"/>
      <c r="G88" s="860"/>
      <c r="H88" s="860"/>
      <c r="I88" s="860"/>
      <c r="J88" s="860"/>
      <c r="K88" s="989"/>
      <c r="L88" s="989"/>
      <c r="M88" s="989"/>
      <c r="N88" s="989"/>
      <c r="O88" s="989"/>
      <c r="P88" s="989"/>
      <c r="Q88" s="989"/>
      <c r="R88" s="989"/>
      <c r="S88" s="989"/>
      <c r="T88" s="989"/>
    </row>
    <row r="89" spans="1:20" ht="15" thickBot="1" x14ac:dyDescent="0.4">
      <c r="A89" s="860"/>
      <c r="B89" s="950" t="s">
        <v>2236</v>
      </c>
      <c r="C89" s="860"/>
      <c r="D89" s="860"/>
      <c r="E89" s="860"/>
      <c r="F89" s="860"/>
      <c r="G89" s="860"/>
      <c r="H89" s="860"/>
      <c r="I89" s="860"/>
      <c r="J89" s="860"/>
      <c r="K89" s="989"/>
      <c r="L89" s="989"/>
      <c r="M89" s="989"/>
      <c r="N89" s="989"/>
      <c r="O89" s="989"/>
      <c r="P89" s="989"/>
      <c r="Q89" s="989"/>
      <c r="R89" s="989"/>
      <c r="S89" s="989"/>
      <c r="T89" s="989"/>
    </row>
    <row r="90" spans="1:20" ht="23.5" thickBot="1" x14ac:dyDescent="0.4">
      <c r="A90" s="860"/>
      <c r="B90" s="993" t="s">
        <v>2218</v>
      </c>
      <c r="C90" s="952" t="s">
        <v>2219</v>
      </c>
      <c r="D90" s="952" t="s">
        <v>2220</v>
      </c>
      <c r="E90" s="974" t="s">
        <v>2237</v>
      </c>
      <c r="F90" s="952" t="s">
        <v>2238</v>
      </c>
      <c r="G90" s="974" t="s">
        <v>2239</v>
      </c>
      <c r="H90" s="974" t="s">
        <v>2240</v>
      </c>
      <c r="I90" s="974" t="s">
        <v>2241</v>
      </c>
      <c r="J90" s="2180" t="s">
        <v>574</v>
      </c>
      <c r="K90" s="2181"/>
      <c r="L90" s="989"/>
      <c r="M90" s="989"/>
      <c r="N90" s="989"/>
      <c r="O90" s="989"/>
      <c r="P90" s="989"/>
      <c r="Q90" s="989"/>
      <c r="R90" s="989"/>
      <c r="S90" s="989"/>
      <c r="T90" s="989"/>
    </row>
    <row r="91" spans="1:20" x14ac:dyDescent="0.35">
      <c r="A91" s="860"/>
      <c r="B91" s="953"/>
      <c r="C91" s="954"/>
      <c r="D91" s="955"/>
      <c r="E91" s="975"/>
      <c r="F91" s="954"/>
      <c r="G91" s="980"/>
      <c r="H91" s="980"/>
      <c r="I91" s="980"/>
      <c r="J91" s="2182"/>
      <c r="K91" s="2183"/>
      <c r="L91" s="989"/>
      <c r="M91" s="989"/>
      <c r="N91" s="989"/>
      <c r="O91" s="989"/>
      <c r="P91" s="989"/>
      <c r="Q91" s="989"/>
      <c r="R91" s="989"/>
      <c r="S91" s="989"/>
      <c r="T91" s="989"/>
    </row>
    <row r="92" spans="1:20" x14ac:dyDescent="0.35">
      <c r="A92" s="860"/>
      <c r="B92" s="958"/>
      <c r="C92" s="959"/>
      <c r="D92" s="960"/>
      <c r="E92" s="976"/>
      <c r="F92" s="992"/>
      <c r="G92" s="959"/>
      <c r="H92" s="959"/>
      <c r="I92" s="959"/>
      <c r="J92" s="2184"/>
      <c r="K92" s="2185"/>
      <c r="L92" s="989"/>
      <c r="M92" s="989"/>
      <c r="N92" s="989"/>
      <c r="O92" s="989"/>
      <c r="P92" s="989"/>
      <c r="Q92" s="989"/>
      <c r="R92" s="989"/>
      <c r="S92" s="989"/>
      <c r="T92" s="989"/>
    </row>
    <row r="93" spans="1:20" ht="15" thickBot="1" x14ac:dyDescent="0.4">
      <c r="A93" s="860"/>
      <c r="B93" s="963"/>
      <c r="C93" s="964"/>
      <c r="D93" s="965"/>
      <c r="E93" s="977"/>
      <c r="F93" s="964"/>
      <c r="G93" s="984"/>
      <c r="H93" s="984"/>
      <c r="I93" s="984"/>
      <c r="J93" s="2186"/>
      <c r="K93" s="2187"/>
      <c r="L93" s="989"/>
      <c r="M93" s="989"/>
      <c r="N93" s="989"/>
      <c r="O93" s="989"/>
      <c r="P93" s="989"/>
      <c r="Q93" s="989"/>
      <c r="R93" s="989"/>
      <c r="S93" s="989"/>
      <c r="T93" s="989"/>
    </row>
    <row r="94" spans="1:20" ht="15" thickBot="1" x14ac:dyDescent="0.4">
      <c r="A94" s="860"/>
      <c r="B94" s="968"/>
      <c r="C94" s="969"/>
      <c r="D94" s="981"/>
      <c r="E94" s="982">
        <f>SUM(E91:E93)</f>
        <v>0</v>
      </c>
      <c r="F94" s="983"/>
      <c r="G94" s="981"/>
      <c r="H94" s="981"/>
      <c r="I94" s="981"/>
      <c r="J94" s="2180"/>
      <c r="K94" s="2181"/>
      <c r="L94" s="989"/>
      <c r="M94" s="989"/>
      <c r="N94" s="989"/>
      <c r="O94" s="989"/>
      <c r="P94" s="989"/>
      <c r="Q94" s="989"/>
      <c r="R94" s="989"/>
      <c r="S94" s="989"/>
      <c r="T94" s="989"/>
    </row>
    <row r="95" spans="1:20" x14ac:dyDescent="0.35">
      <c r="A95" s="860"/>
      <c r="B95" s="860"/>
      <c r="C95" s="860"/>
      <c r="D95" s="860"/>
      <c r="E95" s="860"/>
      <c r="F95" s="860"/>
      <c r="G95" s="860"/>
      <c r="H95" s="860"/>
      <c r="I95" s="860"/>
      <c r="J95" s="860"/>
      <c r="K95" s="860"/>
      <c r="L95" s="989"/>
      <c r="M95" s="989"/>
      <c r="N95" s="989"/>
      <c r="O95" s="989"/>
      <c r="P95" s="989"/>
      <c r="Q95" s="989"/>
      <c r="R95" s="989"/>
      <c r="S95" s="989"/>
      <c r="T95" s="989"/>
    </row>
    <row r="96" spans="1:20" ht="15" thickBot="1" x14ac:dyDescent="0.4">
      <c r="A96" s="860"/>
      <c r="B96" s="998" t="s">
        <v>2232</v>
      </c>
      <c r="C96" s="860"/>
      <c r="D96" s="860"/>
      <c r="E96" s="860"/>
      <c r="F96" s="860"/>
      <c r="G96" s="860"/>
      <c r="H96" s="860"/>
      <c r="I96" s="860"/>
      <c r="J96" s="860"/>
      <c r="K96" s="860"/>
      <c r="L96" s="989"/>
      <c r="M96" s="989"/>
      <c r="N96" s="989"/>
      <c r="O96" s="989"/>
      <c r="P96" s="989"/>
      <c r="Q96" s="989"/>
      <c r="R96" s="989"/>
      <c r="S96" s="989"/>
      <c r="T96" s="989"/>
    </row>
    <row r="97" spans="1:20" x14ac:dyDescent="0.35">
      <c r="A97" s="860"/>
      <c r="B97" s="2169"/>
      <c r="C97" s="2170"/>
      <c r="D97" s="2170"/>
      <c r="E97" s="2170"/>
      <c r="F97" s="2170"/>
      <c r="G97" s="2170"/>
      <c r="H97" s="2170"/>
      <c r="I97" s="2170"/>
      <c r="J97" s="2170"/>
      <c r="K97" s="2171"/>
      <c r="L97" s="989"/>
      <c r="M97" s="989"/>
      <c r="N97" s="989"/>
      <c r="O97" s="989"/>
      <c r="P97" s="989"/>
      <c r="Q97" s="989"/>
      <c r="R97" s="989"/>
      <c r="S97" s="989"/>
      <c r="T97" s="989"/>
    </row>
    <row r="98" spans="1:20" x14ac:dyDescent="0.35">
      <c r="A98" s="860"/>
      <c r="B98" s="2172"/>
      <c r="C98" s="2173"/>
      <c r="D98" s="2173"/>
      <c r="E98" s="2173"/>
      <c r="F98" s="2173"/>
      <c r="G98" s="2173"/>
      <c r="H98" s="2173"/>
      <c r="I98" s="2173"/>
      <c r="J98" s="2173"/>
      <c r="K98" s="2174"/>
      <c r="L98" s="989"/>
      <c r="M98" s="989"/>
      <c r="N98" s="989"/>
      <c r="O98" s="989"/>
      <c r="P98" s="989"/>
      <c r="Q98" s="989"/>
      <c r="R98" s="989"/>
      <c r="S98" s="989"/>
      <c r="T98" s="989"/>
    </row>
    <row r="99" spans="1:20" x14ac:dyDescent="0.35">
      <c r="A99" s="860"/>
      <c r="B99" s="2172"/>
      <c r="C99" s="2173"/>
      <c r="D99" s="2173"/>
      <c r="E99" s="2173"/>
      <c r="F99" s="2173"/>
      <c r="G99" s="2173"/>
      <c r="H99" s="2173"/>
      <c r="I99" s="2173"/>
      <c r="J99" s="2173"/>
      <c r="K99" s="2174"/>
      <c r="L99" s="989"/>
      <c r="M99" s="989"/>
      <c r="N99" s="989"/>
      <c r="O99" s="989"/>
      <c r="P99" s="989"/>
      <c r="Q99" s="989"/>
      <c r="R99" s="989"/>
      <c r="S99" s="989"/>
      <c r="T99" s="989"/>
    </row>
    <row r="100" spans="1:20" ht="15" thickBot="1" x14ac:dyDescent="0.4">
      <c r="A100" s="860"/>
      <c r="B100" s="2166"/>
      <c r="C100" s="2167"/>
      <c r="D100" s="2167"/>
      <c r="E100" s="2167"/>
      <c r="F100" s="2167"/>
      <c r="G100" s="2167"/>
      <c r="H100" s="2167"/>
      <c r="I100" s="2167"/>
      <c r="J100" s="2167"/>
      <c r="K100" s="2168"/>
      <c r="L100" s="989"/>
      <c r="M100" s="989"/>
      <c r="N100" s="989"/>
      <c r="O100" s="989"/>
      <c r="P100" s="989"/>
      <c r="Q100" s="989"/>
      <c r="R100" s="989"/>
      <c r="S100" s="989"/>
      <c r="T100" s="989"/>
    </row>
    <row r="101" spans="1:20" x14ac:dyDescent="0.35">
      <c r="A101" s="860"/>
      <c r="B101" s="978" t="s">
        <v>2242</v>
      </c>
      <c r="C101" s="860"/>
      <c r="D101" s="860"/>
      <c r="E101" s="860"/>
      <c r="F101" s="860"/>
      <c r="G101" s="860"/>
      <c r="H101" s="860"/>
      <c r="I101" s="860"/>
      <c r="J101" s="860"/>
      <c r="K101" s="860"/>
      <c r="L101" s="989"/>
      <c r="M101" s="989"/>
      <c r="N101" s="989"/>
      <c r="O101" s="989"/>
      <c r="P101" s="989"/>
      <c r="Q101" s="989"/>
      <c r="R101" s="989"/>
      <c r="S101" s="989"/>
      <c r="T101" s="989"/>
    </row>
    <row r="102" spans="1:20" x14ac:dyDescent="0.35">
      <c r="A102" s="860"/>
      <c r="B102" s="978"/>
      <c r="C102" s="860"/>
      <c r="D102" s="860"/>
      <c r="E102" s="860"/>
      <c r="F102" s="860"/>
      <c r="G102" s="860"/>
      <c r="H102" s="860"/>
      <c r="I102" s="860"/>
      <c r="J102" s="860"/>
      <c r="K102" s="860"/>
      <c r="L102" s="989"/>
      <c r="M102" s="989"/>
      <c r="N102" s="989"/>
      <c r="O102" s="989"/>
      <c r="P102" s="989"/>
      <c r="Q102" s="989"/>
      <c r="R102" s="989"/>
      <c r="S102" s="989"/>
      <c r="T102" s="989"/>
    </row>
    <row r="103" spans="1:20" x14ac:dyDescent="0.35">
      <c r="A103" s="860"/>
      <c r="B103" s="950" t="s">
        <v>2271</v>
      </c>
      <c r="C103" s="860"/>
      <c r="D103" s="860"/>
      <c r="E103" s="860"/>
      <c r="F103" s="860"/>
      <c r="G103" s="860"/>
      <c r="H103" s="860"/>
      <c r="I103" s="860"/>
      <c r="J103" s="860"/>
      <c r="K103" s="860"/>
      <c r="L103" s="989"/>
      <c r="M103" s="989"/>
      <c r="N103" s="989"/>
      <c r="O103" s="989"/>
      <c r="P103" s="989"/>
      <c r="Q103" s="989"/>
      <c r="R103" s="989"/>
      <c r="S103" s="989"/>
      <c r="T103" s="989"/>
    </row>
    <row r="104" spans="1:20" x14ac:dyDescent="0.35">
      <c r="A104" s="860"/>
      <c r="B104" s="2229" t="str">
        <f ca="1">+CONCATENATE("Evidenza dell'avvenuto pagamento delle fatture rendicontate nel precedente SAL pari ad €  ",TEXT('2 SAL'!E20,"#.###0,00"),"")</f>
        <v xml:space="preserve">Evidenza dell'avvenuto pagamento delle fatture rendicontate nel precedente SAL pari ad €  </v>
      </c>
      <c r="C104" s="2230"/>
      <c r="D104" s="2230"/>
      <c r="E104" s="2230"/>
      <c r="F104" s="2230"/>
      <c r="G104" s="2230"/>
      <c r="H104" s="2230"/>
      <c r="I104" s="2230"/>
      <c r="J104" s="2230"/>
      <c r="K104" s="2230"/>
      <c r="L104" s="2230"/>
      <c r="M104" s="2230"/>
      <c r="N104" s="2230"/>
      <c r="O104" s="2230"/>
      <c r="P104" s="2230"/>
      <c r="Q104" s="2230"/>
      <c r="R104" s="2230"/>
      <c r="S104" s="2230"/>
      <c r="T104" s="2230"/>
    </row>
    <row r="105" spans="1:20" ht="15" thickBot="1" x14ac:dyDescent="0.4">
      <c r="A105" s="860"/>
      <c r="B105" s="860"/>
      <c r="C105" s="860"/>
      <c r="D105" s="860"/>
      <c r="E105" s="860"/>
      <c r="F105" s="860"/>
      <c r="G105" s="860"/>
      <c r="H105" s="860"/>
      <c r="I105" s="860"/>
      <c r="J105" s="860"/>
      <c r="K105" s="860"/>
      <c r="L105" s="989"/>
      <c r="M105" s="989"/>
      <c r="N105" s="989"/>
      <c r="O105" s="989"/>
      <c r="P105" s="989"/>
      <c r="Q105" s="989"/>
      <c r="R105" s="989"/>
      <c r="S105" s="989"/>
      <c r="T105" s="989"/>
    </row>
    <row r="106" spans="1:20" ht="23.5" thickBot="1" x14ac:dyDescent="0.4">
      <c r="A106" s="860"/>
      <c r="B106" s="993" t="s">
        <v>2218</v>
      </c>
      <c r="C106" s="952" t="s">
        <v>2219</v>
      </c>
      <c r="D106" s="952" t="s">
        <v>2220</v>
      </c>
      <c r="E106" s="974" t="s">
        <v>2237</v>
      </c>
      <c r="F106" s="952" t="s">
        <v>2238</v>
      </c>
      <c r="G106" s="952" t="s">
        <v>2239</v>
      </c>
      <c r="H106" s="1045" t="s">
        <v>2240</v>
      </c>
      <c r="I106" s="974" t="s">
        <v>2241</v>
      </c>
      <c r="J106" s="952" t="s">
        <v>2262</v>
      </c>
      <c r="K106" s="997" t="s">
        <v>574</v>
      </c>
      <c r="L106" s="989"/>
      <c r="M106" s="989"/>
      <c r="N106" s="989"/>
      <c r="O106" s="989"/>
      <c r="P106" s="989"/>
      <c r="Q106" s="989"/>
      <c r="R106" s="989"/>
      <c r="S106" s="989"/>
      <c r="T106" s="989"/>
    </row>
    <row r="107" spans="1:20" x14ac:dyDescent="0.35">
      <c r="A107" s="860"/>
      <c r="B107" s="1034"/>
      <c r="C107" s="1035"/>
      <c r="D107" s="1036"/>
      <c r="E107" s="1037"/>
      <c r="F107" s="1038"/>
      <c r="G107" s="1050"/>
      <c r="H107" s="1046"/>
      <c r="I107" s="980"/>
      <c r="J107" s="980"/>
      <c r="K107" s="1055"/>
      <c r="L107" s="989"/>
      <c r="M107" s="989"/>
      <c r="N107" s="989"/>
      <c r="O107" s="989"/>
      <c r="P107" s="989"/>
      <c r="Q107" s="989"/>
      <c r="R107" s="989"/>
      <c r="S107" s="989"/>
      <c r="T107" s="989"/>
    </row>
    <row r="108" spans="1:20" x14ac:dyDescent="0.35">
      <c r="A108" s="860"/>
      <c r="B108" s="1039"/>
      <c r="C108" s="1040"/>
      <c r="D108" s="1041"/>
      <c r="E108" s="1042"/>
      <c r="F108" s="1043"/>
      <c r="G108" s="1051"/>
      <c r="H108" s="1047"/>
      <c r="I108" s="959"/>
      <c r="J108" s="959"/>
      <c r="K108" s="1056"/>
      <c r="L108" s="989"/>
      <c r="M108" s="989"/>
      <c r="N108" s="989"/>
      <c r="O108" s="989"/>
      <c r="P108" s="989"/>
      <c r="Q108" s="989"/>
      <c r="R108" s="989"/>
      <c r="S108" s="989"/>
      <c r="T108" s="989"/>
    </row>
    <row r="109" spans="1:20" ht="15" thickBot="1" x14ac:dyDescent="0.4">
      <c r="A109" s="860"/>
      <c r="B109" s="1039"/>
      <c r="C109" s="1040"/>
      <c r="D109" s="1041"/>
      <c r="E109" s="1044"/>
      <c r="F109" s="964"/>
      <c r="G109" s="1052"/>
      <c r="H109" s="1048"/>
      <c r="I109" s="984"/>
      <c r="J109" s="984"/>
      <c r="K109" s="1057"/>
      <c r="L109" s="989"/>
      <c r="M109" s="989"/>
      <c r="N109" s="989"/>
      <c r="O109" s="989"/>
      <c r="P109" s="989"/>
      <c r="Q109" s="989"/>
      <c r="R109" s="989"/>
      <c r="S109" s="989"/>
      <c r="T109" s="989"/>
    </row>
    <row r="110" spans="1:20" ht="15" thickBot="1" x14ac:dyDescent="0.4">
      <c r="A110" s="860"/>
      <c r="B110" s="968"/>
      <c r="C110" s="969"/>
      <c r="D110" s="981"/>
      <c r="E110" s="1054">
        <f>SUM(E107:E109)</f>
        <v>0</v>
      </c>
      <c r="F110" s="1053"/>
      <c r="G110" s="969"/>
      <c r="H110" s="1049"/>
      <c r="I110" s="981"/>
      <c r="J110" s="969"/>
      <c r="K110" s="1058"/>
      <c r="L110" s="989"/>
      <c r="M110" s="989"/>
      <c r="N110" s="989"/>
      <c r="O110" s="989"/>
      <c r="P110" s="989"/>
      <c r="Q110" s="989"/>
      <c r="R110" s="989"/>
      <c r="S110" s="989"/>
      <c r="T110" s="989"/>
    </row>
    <row r="111" spans="1:20" x14ac:dyDescent="0.35">
      <c r="A111" s="860"/>
      <c r="B111" s="978"/>
      <c r="C111" s="860"/>
      <c r="D111" s="860"/>
      <c r="E111" s="860"/>
      <c r="F111" s="860"/>
      <c r="G111" s="860"/>
      <c r="H111" s="860"/>
      <c r="I111" s="860"/>
      <c r="J111" s="860"/>
      <c r="K111" s="860"/>
      <c r="L111" s="989"/>
      <c r="M111" s="989"/>
      <c r="N111" s="989"/>
      <c r="O111" s="989"/>
      <c r="P111" s="989"/>
      <c r="Q111" s="989"/>
      <c r="R111" s="989"/>
      <c r="S111" s="989"/>
      <c r="T111" s="989"/>
    </row>
    <row r="112" spans="1:20" ht="15" thickBot="1" x14ac:dyDescent="0.4">
      <c r="A112" s="860"/>
      <c r="B112" s="998" t="s">
        <v>2232</v>
      </c>
      <c r="C112" s="860"/>
      <c r="D112" s="860"/>
      <c r="E112" s="860"/>
      <c r="F112" s="860"/>
      <c r="G112" s="860"/>
      <c r="H112" s="860"/>
      <c r="I112" s="860"/>
      <c r="J112" s="860"/>
      <c r="K112" s="860"/>
      <c r="L112" s="989"/>
      <c r="M112" s="989"/>
      <c r="N112" s="989"/>
      <c r="O112" s="989"/>
      <c r="P112" s="989"/>
      <c r="Q112" s="989"/>
      <c r="R112" s="989"/>
      <c r="S112" s="989"/>
      <c r="T112" s="989"/>
    </row>
    <row r="113" spans="1:20" x14ac:dyDescent="0.35">
      <c r="A113" s="860"/>
      <c r="B113" s="2169"/>
      <c r="C113" s="2170"/>
      <c r="D113" s="2170"/>
      <c r="E113" s="2170"/>
      <c r="F113" s="2170"/>
      <c r="G113" s="2170"/>
      <c r="H113" s="2170"/>
      <c r="I113" s="2170"/>
      <c r="J113" s="2170"/>
      <c r="K113" s="2171"/>
      <c r="L113" s="989"/>
      <c r="M113" s="989"/>
      <c r="N113" s="989"/>
      <c r="O113" s="989"/>
      <c r="P113" s="989"/>
      <c r="Q113" s="989"/>
      <c r="R113" s="989"/>
      <c r="S113" s="989"/>
      <c r="T113" s="989"/>
    </row>
    <row r="114" spans="1:20" x14ac:dyDescent="0.35">
      <c r="A114" s="860"/>
      <c r="B114" s="2172"/>
      <c r="C114" s="2173"/>
      <c r="D114" s="2173"/>
      <c r="E114" s="2173"/>
      <c r="F114" s="2173"/>
      <c r="G114" s="2173"/>
      <c r="H114" s="2173"/>
      <c r="I114" s="2173"/>
      <c r="J114" s="2173"/>
      <c r="K114" s="2174"/>
      <c r="L114" s="989"/>
      <c r="M114" s="989"/>
      <c r="N114" s="989"/>
      <c r="O114" s="989"/>
      <c r="P114" s="989"/>
      <c r="Q114" s="989"/>
      <c r="R114" s="989"/>
      <c r="S114" s="989"/>
      <c r="T114" s="989"/>
    </row>
    <row r="115" spans="1:20" x14ac:dyDescent="0.35">
      <c r="A115" s="860"/>
      <c r="B115" s="2172"/>
      <c r="C115" s="2173"/>
      <c r="D115" s="2173"/>
      <c r="E115" s="2173"/>
      <c r="F115" s="2173"/>
      <c r="G115" s="2173"/>
      <c r="H115" s="2173"/>
      <c r="I115" s="2173"/>
      <c r="J115" s="2173"/>
      <c r="K115" s="2174"/>
      <c r="L115" s="989"/>
      <c r="M115" s="989"/>
      <c r="N115" s="989"/>
      <c r="O115" s="989"/>
      <c r="P115" s="989"/>
      <c r="Q115" s="989"/>
      <c r="R115" s="989"/>
      <c r="S115" s="989"/>
      <c r="T115" s="989"/>
    </row>
    <row r="116" spans="1:20" ht="15" thickBot="1" x14ac:dyDescent="0.4">
      <c r="A116" s="860"/>
      <c r="B116" s="2166"/>
      <c r="C116" s="2167"/>
      <c r="D116" s="2167"/>
      <c r="E116" s="2167"/>
      <c r="F116" s="2167"/>
      <c r="G116" s="2167"/>
      <c r="H116" s="2167"/>
      <c r="I116" s="2167"/>
      <c r="J116" s="2167"/>
      <c r="K116" s="2168"/>
      <c r="L116" s="989"/>
      <c r="M116" s="989"/>
      <c r="N116" s="989"/>
      <c r="O116" s="989"/>
      <c r="P116" s="989"/>
      <c r="Q116" s="989"/>
      <c r="R116" s="989"/>
      <c r="S116" s="989"/>
      <c r="T116" s="989"/>
    </row>
    <row r="117" spans="1:20" x14ac:dyDescent="0.35">
      <c r="A117" s="860"/>
      <c r="B117" s="978"/>
      <c r="C117" s="860"/>
      <c r="D117" s="860"/>
      <c r="E117" s="860"/>
      <c r="F117" s="860"/>
      <c r="G117" s="860"/>
      <c r="H117" s="860"/>
      <c r="I117" s="860"/>
      <c r="J117" s="860"/>
      <c r="K117" s="860"/>
      <c r="L117" s="989"/>
      <c r="M117" s="989"/>
      <c r="N117" s="989"/>
      <c r="O117" s="989"/>
      <c r="P117" s="989"/>
      <c r="Q117" s="989"/>
      <c r="R117" s="989"/>
      <c r="S117" s="989"/>
      <c r="T117" s="989"/>
    </row>
    <row r="118" spans="1:20" x14ac:dyDescent="0.35">
      <c r="A118" s="860"/>
      <c r="B118" s="978"/>
      <c r="C118" s="860"/>
      <c r="D118" s="860"/>
      <c r="E118" s="860"/>
      <c r="F118" s="860"/>
      <c r="G118" s="860"/>
      <c r="H118" s="860"/>
      <c r="I118" s="860"/>
      <c r="J118" s="860"/>
      <c r="K118" s="860"/>
      <c r="L118" s="989"/>
      <c r="M118" s="989"/>
      <c r="N118" s="989"/>
      <c r="O118" s="989"/>
      <c r="P118" s="989"/>
      <c r="Q118" s="989"/>
      <c r="R118" s="989"/>
      <c r="S118" s="989"/>
      <c r="T118" s="989"/>
    </row>
    <row r="119" spans="1:20" x14ac:dyDescent="0.35">
      <c r="A119" s="860"/>
      <c r="B119" s="978"/>
      <c r="C119" s="860"/>
      <c r="D119" s="860"/>
      <c r="E119" s="860"/>
      <c r="F119" s="860"/>
      <c r="G119" s="860"/>
      <c r="H119" s="860"/>
      <c r="I119" s="860"/>
      <c r="J119" s="860"/>
      <c r="K119" s="860"/>
      <c r="L119" s="989"/>
      <c r="M119" s="989"/>
      <c r="N119" s="989"/>
      <c r="O119" s="989"/>
      <c r="P119" s="989"/>
      <c r="Q119" s="989"/>
      <c r="R119" s="989"/>
      <c r="S119" s="989"/>
      <c r="T119" s="989"/>
    </row>
    <row r="120" spans="1:20" x14ac:dyDescent="0.35">
      <c r="A120" s="860"/>
      <c r="B120" s="978"/>
      <c r="C120" s="860"/>
      <c r="D120" s="860"/>
      <c r="E120" s="860"/>
      <c r="F120" s="860"/>
      <c r="G120" s="860"/>
      <c r="H120" s="860"/>
      <c r="I120" s="860"/>
      <c r="J120" s="860"/>
      <c r="K120" s="860"/>
      <c r="L120" s="989"/>
      <c r="M120" s="989"/>
      <c r="N120" s="989"/>
      <c r="O120" s="989"/>
      <c r="P120" s="989"/>
      <c r="Q120" s="989"/>
      <c r="R120" s="989"/>
      <c r="S120" s="989"/>
      <c r="T120" s="989"/>
    </row>
    <row r="121" spans="1:20" ht="15" thickBot="1" x14ac:dyDescent="0.4">
      <c r="A121" s="860"/>
      <c r="B121" s="860"/>
      <c r="C121" s="860"/>
      <c r="D121" s="860"/>
      <c r="E121" s="860"/>
      <c r="F121" s="860"/>
      <c r="G121" s="860"/>
      <c r="H121" s="860"/>
      <c r="I121" s="860"/>
      <c r="J121" s="860"/>
      <c r="K121" s="860"/>
      <c r="L121" s="989"/>
      <c r="M121" s="989"/>
      <c r="N121" s="989"/>
      <c r="O121" s="989"/>
      <c r="P121" s="989"/>
      <c r="Q121" s="989"/>
      <c r="R121" s="989"/>
      <c r="S121" s="989"/>
      <c r="T121" s="989"/>
    </row>
    <row r="122" spans="1:20" ht="15" thickBot="1" x14ac:dyDescent="0.4">
      <c r="A122" s="860"/>
      <c r="B122" s="2163" t="s">
        <v>2273</v>
      </c>
      <c r="C122" s="2164"/>
      <c r="D122" s="2164"/>
      <c r="E122" s="2164"/>
      <c r="F122" s="2164"/>
      <c r="G122" s="2164"/>
      <c r="H122" s="2164"/>
      <c r="I122" s="2164"/>
      <c r="J122" s="2164"/>
      <c r="K122" s="2164"/>
      <c r="L122" s="2164"/>
      <c r="M122" s="2164"/>
      <c r="N122" s="2164"/>
      <c r="O122" s="2164"/>
      <c r="P122" s="2164"/>
      <c r="Q122" s="2164"/>
      <c r="R122" s="2164"/>
      <c r="S122" s="2164"/>
      <c r="T122" s="2165"/>
    </row>
    <row r="123" spans="1:20" x14ac:dyDescent="0.35">
      <c r="A123" s="988"/>
      <c r="B123" s="988"/>
      <c r="C123" s="988"/>
      <c r="D123" s="988"/>
      <c r="E123" s="988"/>
      <c r="F123" s="988"/>
      <c r="G123" s="988"/>
      <c r="H123" s="988"/>
      <c r="I123" s="988"/>
      <c r="J123" s="988"/>
      <c r="K123" s="988"/>
      <c r="L123" s="989"/>
      <c r="M123" s="989"/>
      <c r="N123" s="989"/>
      <c r="O123" s="989"/>
      <c r="P123" s="989"/>
      <c r="Q123" s="989"/>
      <c r="R123" s="989"/>
      <c r="S123" s="989"/>
      <c r="T123" s="989"/>
    </row>
    <row r="124" spans="1:20" x14ac:dyDescent="0.35">
      <c r="A124" s="989"/>
      <c r="B124" s="990" t="s">
        <v>2244</v>
      </c>
      <c r="C124" s="989"/>
      <c r="D124" s="989"/>
      <c r="E124" s="989"/>
      <c r="F124" s="989"/>
      <c r="G124" s="989"/>
      <c r="H124" s="989"/>
      <c r="I124" s="989"/>
      <c r="J124" s="989"/>
      <c r="K124" s="989"/>
      <c r="L124" s="989"/>
      <c r="M124" s="989"/>
      <c r="N124" s="989"/>
      <c r="O124" s="989"/>
      <c r="P124" s="989"/>
      <c r="Q124" s="989"/>
      <c r="R124" s="989"/>
      <c r="S124" s="989"/>
      <c r="T124" s="989"/>
    </row>
    <row r="125" spans="1:20" x14ac:dyDescent="0.35">
      <c r="A125" s="989"/>
      <c r="B125" s="989"/>
      <c r="C125" s="989"/>
      <c r="D125" s="989"/>
      <c r="E125" s="989"/>
      <c r="F125" s="989"/>
      <c r="G125" s="989"/>
      <c r="H125" s="989"/>
      <c r="I125" s="989"/>
      <c r="J125" s="989"/>
      <c r="K125" s="989"/>
      <c r="L125" s="989"/>
      <c r="M125" s="989"/>
      <c r="N125" s="989"/>
      <c r="O125" s="989"/>
      <c r="P125" s="989"/>
      <c r="Q125" s="989"/>
      <c r="R125" s="989"/>
      <c r="S125" s="989"/>
      <c r="T125" s="989"/>
    </row>
    <row r="126" spans="1:20" ht="15" thickBot="1" x14ac:dyDescent="0.4">
      <c r="A126" s="989"/>
      <c r="B126" s="989"/>
      <c r="C126" s="989"/>
      <c r="D126" s="989"/>
      <c r="E126" s="989"/>
      <c r="F126" s="989"/>
      <c r="G126" s="989"/>
      <c r="H126" s="989"/>
      <c r="I126" s="989"/>
      <c r="J126" s="989"/>
      <c r="K126" s="989"/>
      <c r="L126" s="989"/>
      <c r="M126" s="989"/>
      <c r="N126" s="989"/>
      <c r="O126" s="989"/>
      <c r="P126" s="989"/>
      <c r="Q126" s="989"/>
      <c r="R126" s="989"/>
      <c r="S126" s="989"/>
      <c r="T126" s="989"/>
    </row>
    <row r="127" spans="1:20" ht="15" thickBot="1" x14ac:dyDescent="0.4">
      <c r="A127" s="989"/>
      <c r="B127" s="989"/>
      <c r="C127" s="2202" t="s">
        <v>2245</v>
      </c>
      <c r="D127" s="2203"/>
      <c r="E127" s="2204" t="s">
        <v>2246</v>
      </c>
      <c r="F127" s="2205"/>
      <c r="G127" s="2205"/>
      <c r="H127" s="2205"/>
      <c r="I127" s="2206"/>
      <c r="J127" s="1018"/>
      <c r="K127" s="989"/>
      <c r="L127" s="989"/>
      <c r="M127" s="989"/>
      <c r="N127" s="989"/>
      <c r="O127" s="989"/>
      <c r="P127" s="989"/>
      <c r="Q127" s="989"/>
      <c r="R127" s="989"/>
      <c r="S127" s="989"/>
      <c r="T127" s="989"/>
    </row>
    <row r="128" spans="1:20" ht="23.5" thickBot="1" x14ac:dyDescent="0.4">
      <c r="A128" s="989"/>
      <c r="B128" s="1088" t="s">
        <v>2067</v>
      </c>
      <c r="C128" s="999" t="s">
        <v>2068</v>
      </c>
      <c r="D128" s="1081" t="s">
        <v>2069</v>
      </c>
      <c r="E128" s="1074" t="s">
        <v>2247</v>
      </c>
      <c r="F128" s="1000" t="s">
        <v>2226</v>
      </c>
      <c r="G128" s="1025" t="s">
        <v>2069</v>
      </c>
      <c r="H128" s="1000" t="s">
        <v>2248</v>
      </c>
      <c r="I128" s="1081" t="s">
        <v>2249</v>
      </c>
      <c r="J128" s="1081" t="s">
        <v>2250</v>
      </c>
      <c r="K128" s="989"/>
      <c r="L128" s="989"/>
      <c r="M128" s="989"/>
      <c r="N128" s="989"/>
      <c r="O128" s="989"/>
      <c r="P128" s="989"/>
      <c r="Q128" s="989"/>
      <c r="R128" s="989"/>
      <c r="S128" s="989"/>
      <c r="T128" s="989"/>
    </row>
    <row r="129" spans="1:20" ht="38.25" customHeight="1" x14ac:dyDescent="0.35">
      <c r="A129" s="989"/>
      <c r="B129" s="1089" t="str">
        <f>+IF(Anagrafica!$G$2="Capo II","Opere murarie e assimilate","Acquisto immobile sede dell'attività")</f>
        <v>Acquisto immobile sede dell'attività</v>
      </c>
      <c r="C129" s="1094">
        <f ca="1">+Anagrafica!I30</f>
        <v>0</v>
      </c>
      <c r="D129" s="1079">
        <f ca="1">+Anagrafica!J30</f>
        <v>0</v>
      </c>
      <c r="E129" s="1075" t="e" cm="1">
        <f t="array" aca="1" ref="E129" ca="1">+SUMIF(Categoriesal3,B129,Imponibilesal3)</f>
        <v>#REF!</v>
      </c>
      <c r="F129" s="1064" t="e" cm="1">
        <f t="array" aca="1" ref="F129" ca="1">+SUMIF(Categoriesal3,B129,Realizzatosal3)</f>
        <v>#REF!</v>
      </c>
      <c r="G129" s="1064" t="e" cm="1">
        <f t="array" aca="1" ref="G129" ca="1">+SUMIF(Categoriesal3,B129,Ammessosal3)</f>
        <v>#REF!</v>
      </c>
      <c r="H129" s="1064" t="str">
        <f ca="1">IFERROR(+G129*Anagrafica!F38,"")</f>
        <v/>
      </c>
      <c r="I129" s="1086">
        <v>0</v>
      </c>
      <c r="J129" s="1082" t="e">
        <f ca="1">+IF(C129-F129-'1 SAL'!F110-'2 SAL'!F126&lt;0,0,C129-F129-'1 SAL'!F110-'2 SAL'!F126)</f>
        <v>#REF!</v>
      </c>
      <c r="K129" s="989"/>
      <c r="L129" s="1018"/>
      <c r="M129" s="989"/>
      <c r="N129" s="989"/>
      <c r="O129" s="989"/>
      <c r="P129" s="989"/>
      <c r="Q129" s="989"/>
      <c r="S129" s="989"/>
      <c r="T129" s="989"/>
    </row>
    <row r="130" spans="1:20" ht="41.25" customHeight="1" x14ac:dyDescent="0.35">
      <c r="A130" s="989"/>
      <c r="B130" s="1090" t="str">
        <f>+IF(Anagrafica!$G$2="Capo II","Macchinari, impianti ed attrezzature","Opere murarie e assimilate")</f>
        <v>Opere murarie e assimilate</v>
      </c>
      <c r="C130" s="1095">
        <f ca="1">+Anagrafica!I31</f>
        <v>0</v>
      </c>
      <c r="D130" s="1065">
        <f>+Anagrafica!J31</f>
        <v>0</v>
      </c>
      <c r="E130" s="1075" t="e" cm="1">
        <f t="array" aca="1" ref="E130" ca="1">+SUMIF(Categoriesal3,B130,Imponibilesal3)</f>
        <v>#REF!</v>
      </c>
      <c r="F130" s="1066" t="e" cm="1">
        <f t="array" aca="1" ref="F130" ca="1">+SUMIF(Categoriesal3,B130,Realizzatosal3)</f>
        <v>#REF!</v>
      </c>
      <c r="G130" s="1066" t="e" cm="1">
        <f t="array" aca="1" ref="G130" ca="1">+SUMIF(Categoriesal3,B130,Ammessosal3)</f>
        <v>#REF!</v>
      </c>
      <c r="H130" s="1066" t="e">
        <f ca="1">+IF(Anagrafica!$G$2="Capo II",(G130*Anagrafica!$F$38-I130),G130*Anagrafica!$F$38)</f>
        <v>#REF!</v>
      </c>
      <c r="I130" s="1065">
        <f ca="1">+IFERROR((G130/'Calcolo contributo CAPO II'!$C$23)*Anagrafica!$C$37,0)</f>
        <v>0</v>
      </c>
      <c r="J130" s="1082" t="e">
        <f ca="1">+IF(C130-F130-'1 SAL'!F111-'2 SAL'!F127&lt;0,0,C130-F130-'1 SAL'!F111-'2 SAL'!F127)</f>
        <v>#REF!</v>
      </c>
      <c r="K130" s="1018"/>
      <c r="L130" s="1019"/>
      <c r="M130" s="989"/>
      <c r="N130" s="989"/>
      <c r="O130" s="989"/>
      <c r="P130" s="989"/>
      <c r="Q130" s="989"/>
      <c r="R130" s="989"/>
      <c r="S130" s="989"/>
      <c r="T130" s="989"/>
    </row>
    <row r="131" spans="1:20" ht="70.5" customHeight="1" x14ac:dyDescent="0.35">
      <c r="A131" s="989"/>
      <c r="B131" s="1091" t="str">
        <f>+IF(Anagrafica!$G$2="Capo II","Programmi informatici e servizi per le tecnologie dell’informazione e della comunicazione","Macchinari, impianti ed attrezzature")</f>
        <v>Macchinari, impianti ed attrezzature</v>
      </c>
      <c r="C131" s="1095">
        <f ca="1">+Anagrafica!I32</f>
        <v>10000</v>
      </c>
      <c r="D131" s="1065">
        <f>+Anagrafica!J32</f>
        <v>0</v>
      </c>
      <c r="E131" s="1075" t="e" cm="1">
        <f t="array" aca="1" ref="E131" ca="1">+SUMIF(Categoriesal3,B131,Imponibilesal3)</f>
        <v>#REF!</v>
      </c>
      <c r="F131" s="1066" t="e" cm="1">
        <f t="array" aca="1" ref="F131" ca="1">+SUMIF(Categoriesal3,B131,Realizzatosal3)</f>
        <v>#REF!</v>
      </c>
      <c r="G131" s="1066" t="e" cm="1">
        <f t="array" aca="1" ref="G131" ca="1">+SUMIF(Categoriesal3,B131,Ammessosal3)</f>
        <v>#REF!</v>
      </c>
      <c r="H131" s="1066" t="e">
        <f ca="1">+(G131*Anagrafica!$F$38-I131)</f>
        <v>#REF!</v>
      </c>
      <c r="I131" s="1065" t="e">
        <f ca="1">IF(Anagrafica!$G$2="Capo II",(G131/'Calcolo contributo CAPO II'!$C$23)*Anagrafica!$C$37,G131/(GBER!$C$11+GBER!$C$13)*Anagrafica!$C$37)</f>
        <v>#REF!</v>
      </c>
      <c r="J131" s="1082" t="e">
        <f ca="1">+IF(C131-F131-'1 SAL'!F112-'2 SAL'!F128&lt;0,0,C131-F131-'1 SAL'!F112-'2 SAL'!F128)</f>
        <v>#REF!</v>
      </c>
      <c r="K131" s="1018"/>
      <c r="L131" s="1018"/>
      <c r="M131" s="1018"/>
      <c r="N131" s="1018"/>
      <c r="O131" s="989"/>
      <c r="P131" s="989"/>
      <c r="Q131" s="989"/>
      <c r="R131" s="1018"/>
      <c r="S131" s="989"/>
      <c r="T131" s="989"/>
    </row>
    <row r="132" spans="1:20" ht="45.75" customHeight="1" x14ac:dyDescent="0.35">
      <c r="A132" s="989"/>
      <c r="B132" s="1091" t="str">
        <f>+IF(Anagrafica!$G$2="Capo II","Acquisto di brevetti o acquisizione di relative licenze d’uso","Programmi informatici, brevetti, licenze e marchi")</f>
        <v>Programmi informatici, brevetti, licenze e marchi</v>
      </c>
      <c r="C132" s="1095">
        <f ca="1">+Anagrafica!I33</f>
        <v>0</v>
      </c>
      <c r="D132" s="1065">
        <f ca="1">+Anagrafica!J33</f>
        <v>0</v>
      </c>
      <c r="E132" s="1075" t="e" cm="1">
        <f t="array" aca="1" ref="E132" ca="1">+SUMIF(Categoriesal3,B132,Imponibilesal3)</f>
        <v>#REF!</v>
      </c>
      <c r="F132" s="1066" t="e" cm="1">
        <f t="array" aca="1" ref="F132" ca="1">+SUMIF(Categoriesal3,B132,Realizzatosal3)</f>
        <v>#REF!</v>
      </c>
      <c r="G132" s="1066" t="e" cm="1">
        <f t="array" aca="1" ref="G132" ca="1">+SUMIF(Categoriesal3,B132,Ammessosal3)</f>
        <v>#REF!</v>
      </c>
      <c r="H132" s="1066" t="e">
        <f ca="1">+G132*Anagrafica!$F$38-I132</f>
        <v>#REF!</v>
      </c>
      <c r="I132" s="1065" t="e">
        <f ca="1">IF(Anagrafica!$G$2="Capo II",(G132/'Calcolo contributo CAPO II'!$C$23)*Anagrafica!$C$37,G132/(GBER!$C$11+GBER!$C$13)*Anagrafica!$C$37)</f>
        <v>#REF!</v>
      </c>
      <c r="J132" s="1082" t="e">
        <f ca="1">+IF(C132-F132-'1 SAL'!F113-'2 SAL'!F129&lt;0,0,C132-F132-'1 SAL'!F113-'2 SAL'!F129)</f>
        <v>#REF!</v>
      </c>
      <c r="K132" s="989"/>
      <c r="L132" s="1019"/>
      <c r="M132" s="1028"/>
      <c r="N132" s="989"/>
      <c r="O132" s="989"/>
      <c r="P132" s="989"/>
      <c r="Q132" s="989"/>
      <c r="R132" s="989"/>
      <c r="S132" s="989"/>
      <c r="T132" s="989"/>
    </row>
    <row r="133" spans="1:20" ht="39" customHeight="1" x14ac:dyDescent="0.35">
      <c r="A133" s="989"/>
      <c r="B133" s="1091" t="str">
        <f>+IF(Anagrafica!$G$2="Capo II","Consulenze specialistiche","TOTALE PROGRAMMA DI SPESA")</f>
        <v>TOTALE PROGRAMMA DI SPESA</v>
      </c>
      <c r="C133" s="1095">
        <f ca="1">+Anagrafica!I34</f>
        <v>10000</v>
      </c>
      <c r="D133" s="1065">
        <f ca="1">+Anagrafica!J34</f>
        <v>0</v>
      </c>
      <c r="E133" s="1075" t="e" cm="1">
        <f t="array" aca="1" ref="E133" ca="1">IF(Anagrafica!$G$2="Capo II",+SUMIF(Categoriesal3,B133,Imponibilesal3),SUM(E129:E132))</f>
        <v>#REF!</v>
      </c>
      <c r="F133" s="1066" t="e" cm="1">
        <f t="array" aca="1" ref="F133" ca="1">+IF(Anagrafica!$G$2="Capo II",+SUMIF(Categoriesal3,B133,Realizzatosal3),SUM(F129:F132))</f>
        <v>#REF!</v>
      </c>
      <c r="G133" s="1066" t="e" cm="1">
        <f t="array" aca="1" ref="G133" ca="1">IF(Anagrafica!$G$2="Capo II",+SUMIF(Categoriesal3,B133,Ammessosal3),SUM(G129:G132))</f>
        <v>#REF!</v>
      </c>
      <c r="H133" s="1066">
        <f ca="1">IFERROR(IF(Anagrafica!$G$2="Capo II",+G133*Anagrafica!$F$38,SUM(H129:H132)),0)</f>
        <v>0</v>
      </c>
      <c r="I133" s="1065">
        <f ca="1">IFERROR(IF(Anagrafica!$G$2="Capo II",0,SUM(I129:I132)),0)</f>
        <v>0</v>
      </c>
      <c r="J133" s="1082" t="e">
        <f ca="1">+IF(C133-F133-'1 SAL'!F114-'2 SAL'!F130&lt;0,0,C133-F133-'1 SAL'!F114-'2 SAL'!F130)</f>
        <v>#REF!</v>
      </c>
      <c r="K133" s="989"/>
      <c r="L133" s="1028"/>
      <c r="M133" s="989"/>
      <c r="N133" s="989"/>
      <c r="O133" s="1018"/>
      <c r="P133" s="989"/>
      <c r="Q133" s="989"/>
      <c r="R133" s="989"/>
      <c r="S133" s="989"/>
      <c r="T133" s="989"/>
    </row>
    <row r="134" spans="1:20" ht="44.25" customHeight="1" thickBot="1" x14ac:dyDescent="0.4">
      <c r="A134" s="989"/>
      <c r="B134" s="1092" t="str">
        <f>+IF(Anagrafica!$G$2="Capo II","Oneri notarili connessi alla stipula del contratto di finanziamento ed oneri connessi alla costituzione della società","")</f>
        <v/>
      </c>
      <c r="C134" s="1096" t="str">
        <f>+Anagrafica!I35</f>
        <v/>
      </c>
      <c r="D134" s="1072" t="str">
        <f>+Anagrafica!J35</f>
        <v/>
      </c>
      <c r="E134" s="1075" t="e" cm="1">
        <f t="array" aca="1" ref="E134" ca="1">+SUMIF(Categoriesal3,B134,Imponibilesal3)</f>
        <v>#REF!</v>
      </c>
      <c r="F134" s="1068" t="e" cm="1">
        <f t="array" aca="1" ref="F134" ca="1">+SUMIF(Categoriesal3,B134,Realizzatosal3)</f>
        <v>#REF!</v>
      </c>
      <c r="G134" s="1068" t="e" cm="1">
        <f t="array" aca="1" ref="G134" ca="1">+SUMIF(Categoriesal3,B134,Ammessosal3)</f>
        <v>#REF!</v>
      </c>
      <c r="H134" s="1064" t="str">
        <f ca="1">IFERROR(+G134*Anagrafica!F40,"")</f>
        <v/>
      </c>
      <c r="I134" s="1072">
        <v>0</v>
      </c>
      <c r="J134" s="1082" t="e">
        <f ca="1">+IF(C134-F134-'1 SAL'!F115-'2 SAL'!F131&lt;0,0,C134-F134-'1 SAL'!F115-'2 SAL'!F131)</f>
        <v>#VALUE!</v>
      </c>
      <c r="K134" s="989"/>
      <c r="L134" s="989"/>
      <c r="M134" s="989"/>
      <c r="N134" s="989"/>
      <c r="O134" s="989"/>
      <c r="P134" s="989"/>
      <c r="Q134" s="989"/>
      <c r="R134" s="989"/>
      <c r="S134" s="989"/>
      <c r="T134" s="989"/>
    </row>
    <row r="135" spans="1:20" ht="28.5" customHeight="1" thickBot="1" x14ac:dyDescent="0.4">
      <c r="A135" s="989"/>
      <c r="B135" s="1093" t="str">
        <f>+IF(Anagrafica!$G$2="Capo II","TOTALE INVESTIMENTO","")</f>
        <v/>
      </c>
      <c r="C135" s="1097" t="str">
        <f>+Anagrafica!I36</f>
        <v/>
      </c>
      <c r="D135" s="1080" t="str">
        <f>+Anagrafica!J36</f>
        <v/>
      </c>
      <c r="E135" s="1076" t="e">
        <f t="shared" ref="E135:I135" ca="1" si="1">+SUM(E129:E134)</f>
        <v>#REF!</v>
      </c>
      <c r="F135" s="1070" t="e">
        <f t="shared" ca="1" si="1"/>
        <v>#REF!</v>
      </c>
      <c r="G135" s="1070" t="e">
        <f t="shared" ca="1" si="1"/>
        <v>#REF!</v>
      </c>
      <c r="H135" s="1070" t="e">
        <f t="shared" ca="1" si="1"/>
        <v>#REF!</v>
      </c>
      <c r="I135" s="1071" t="e">
        <f t="shared" ca="1" si="1"/>
        <v>#REF!</v>
      </c>
      <c r="J135" s="1083" t="e">
        <f ca="1">+SUM(J129:J134)</f>
        <v>#REF!</v>
      </c>
      <c r="K135" s="989"/>
      <c r="L135" s="989"/>
      <c r="M135" s="989"/>
      <c r="N135" s="989"/>
      <c r="O135" s="989"/>
      <c r="P135" s="989"/>
      <c r="Q135" s="989"/>
      <c r="R135" s="989"/>
      <c r="S135" s="989"/>
      <c r="T135" s="989"/>
    </row>
    <row r="136" spans="1:20" ht="27.75" customHeight="1" thickBot="1" x14ac:dyDescent="0.4">
      <c r="A136" s="989"/>
      <c r="B136" s="1092" t="str">
        <f>+IF(Anagrafica!$G$2="Capo II","Capitale circolante","")</f>
        <v/>
      </c>
      <c r="C136" s="1096">
        <f>+Anagrafica!C31</f>
        <v>0</v>
      </c>
      <c r="D136" s="1072">
        <f>+Anagrafica!C31</f>
        <v>0</v>
      </c>
      <c r="E136" s="1077">
        <f>+E86</f>
        <v>0</v>
      </c>
      <c r="F136" s="1067">
        <f>+E87</f>
        <v>0</v>
      </c>
      <c r="G136" s="1067">
        <f>+E87</f>
        <v>0</v>
      </c>
      <c r="H136" s="1064">
        <f ca="1">IFERROR(G136*Anagrafica!$F$38,0)</f>
        <v>0</v>
      </c>
      <c r="I136" s="1086">
        <v>0</v>
      </c>
      <c r="J136" s="1084">
        <f>+IF(C136-F136-'1 SAL'!F117-'2 SAL'!F133&lt;0,0,C136-F136-'1 SAL'!F117-'2 SAL'!F133)</f>
        <v>0</v>
      </c>
      <c r="K136" s="989"/>
      <c r="L136" s="989"/>
      <c r="M136" s="989"/>
      <c r="N136" s="989"/>
      <c r="O136" s="989"/>
      <c r="P136" s="989"/>
      <c r="R136" s="989"/>
      <c r="S136" s="989"/>
      <c r="T136" s="989"/>
    </row>
    <row r="137" spans="1:20" ht="31.5" customHeight="1" thickBot="1" x14ac:dyDescent="0.4">
      <c r="A137" s="989"/>
      <c r="B137" s="1093" t="str">
        <f>+IF(Anagrafica!G2="Capo II","TOTALE PROGRAMMA DI SPESA","")</f>
        <v/>
      </c>
      <c r="C137" s="1097" t="str">
        <f>+Anagrafica!I38</f>
        <v/>
      </c>
      <c r="D137" s="1080" t="str">
        <f>+Anagrafica!J38</f>
        <v/>
      </c>
      <c r="E137" s="1078" t="e">
        <f ca="1">+E135+E136</f>
        <v>#REF!</v>
      </c>
      <c r="F137" s="1073" t="e">
        <f ca="1">+F135+F136</f>
        <v>#REF!</v>
      </c>
      <c r="G137" s="1073" t="e">
        <f ca="1">+G135+G136</f>
        <v>#REF!</v>
      </c>
      <c r="H137" s="1070" t="e">
        <f ca="1">+H136+H135</f>
        <v>#REF!</v>
      </c>
      <c r="I137" s="1071" t="e">
        <f ca="1">+I135</f>
        <v>#REF!</v>
      </c>
      <c r="J137" s="1083" t="e">
        <f ca="1">+J136+J135</f>
        <v>#REF!</v>
      </c>
      <c r="K137" s="989"/>
      <c r="L137" s="989"/>
      <c r="M137" s="989"/>
      <c r="N137" s="989"/>
      <c r="O137" s="989"/>
      <c r="P137" s="989"/>
      <c r="Q137" s="989"/>
      <c r="R137" s="989"/>
      <c r="S137" s="989"/>
      <c r="T137" s="989"/>
    </row>
    <row r="138" spans="1:20" x14ac:dyDescent="0.35">
      <c r="A138" s="989"/>
      <c r="B138" s="989"/>
      <c r="C138" s="989"/>
      <c r="D138" s="989"/>
      <c r="E138" s="989"/>
      <c r="F138" s="989"/>
      <c r="G138" s="989"/>
      <c r="H138" s="989"/>
      <c r="I138" s="989"/>
      <c r="J138" s="989"/>
      <c r="K138" s="989"/>
      <c r="L138" s="989"/>
      <c r="M138" s="989"/>
      <c r="N138" s="989"/>
      <c r="O138" s="989"/>
      <c r="P138" s="989"/>
      <c r="Q138" s="989"/>
      <c r="R138" s="989"/>
      <c r="S138" s="989"/>
      <c r="T138" s="989"/>
    </row>
    <row r="139" spans="1:20" ht="15" thickBot="1" x14ac:dyDescent="0.4">
      <c r="A139" s="989"/>
      <c r="B139" s="989"/>
      <c r="C139" s="989"/>
      <c r="D139" s="989"/>
      <c r="E139" s="989"/>
      <c r="F139" s="989"/>
      <c r="G139" s="989"/>
      <c r="H139" s="989"/>
      <c r="I139" s="989"/>
      <c r="J139" s="989"/>
      <c r="K139" s="989"/>
      <c r="L139" s="989"/>
      <c r="M139" s="989"/>
      <c r="N139" s="989"/>
      <c r="O139" s="989"/>
      <c r="P139" s="989"/>
      <c r="Q139" s="989"/>
      <c r="R139" s="989"/>
      <c r="S139" s="989"/>
      <c r="T139" s="989"/>
    </row>
    <row r="140" spans="1:20" ht="15" thickBot="1" x14ac:dyDescent="0.4">
      <c r="A140" s="989"/>
      <c r="B140" s="2232" t="s">
        <v>2163</v>
      </c>
      <c r="C140" s="2233"/>
      <c r="D140" s="2233"/>
      <c r="E140" s="2234"/>
      <c r="F140" s="1119"/>
      <c r="G140" s="989"/>
      <c r="H140" s="989"/>
      <c r="I140" s="989"/>
      <c r="J140" s="989"/>
      <c r="K140" s="989"/>
      <c r="L140" s="989"/>
      <c r="M140" s="989"/>
      <c r="N140" s="989"/>
      <c r="O140" s="989"/>
      <c r="P140" s="989"/>
      <c r="Q140" s="989"/>
      <c r="R140" s="989"/>
      <c r="S140" s="989"/>
      <c r="T140" s="989"/>
    </row>
    <row r="141" spans="1:20" x14ac:dyDescent="0.35">
      <c r="A141" s="989"/>
      <c r="B141" s="2209" t="s">
        <v>2251</v>
      </c>
      <c r="C141" s="2209"/>
      <c r="D141" s="2209"/>
      <c r="E141" s="2209"/>
      <c r="F141" s="1114" t="e">
        <f ca="1">+IF(Anagrafica!$G$2="Capo II",E137,E133)</f>
        <v>#REF!</v>
      </c>
      <c r="G141" s="989"/>
      <c r="H141" s="989"/>
      <c r="I141" s="989"/>
      <c r="J141" s="989"/>
      <c r="K141" s="989"/>
      <c r="L141" s="989"/>
      <c r="M141" s="989"/>
      <c r="N141" s="989"/>
      <c r="O141" s="989"/>
      <c r="P141" s="989"/>
      <c r="Q141" s="989"/>
      <c r="R141" s="989"/>
      <c r="S141" s="989"/>
      <c r="T141" s="989"/>
    </row>
    <row r="142" spans="1:20" x14ac:dyDescent="0.35">
      <c r="A142" s="989"/>
      <c r="B142" s="2208" t="s">
        <v>2252</v>
      </c>
      <c r="C142" s="2208"/>
      <c r="D142" s="2208"/>
      <c r="E142" s="2208"/>
      <c r="F142" s="1115" t="e">
        <f ca="1">+IF(Anagrafica!$G$2="Capo II",F137,F133)</f>
        <v>#REF!</v>
      </c>
      <c r="G142" s="989"/>
      <c r="H142" s="989"/>
      <c r="I142" s="989"/>
      <c r="J142" s="989"/>
      <c r="K142" s="989"/>
      <c r="L142" s="989"/>
      <c r="M142" s="989"/>
      <c r="N142" s="989"/>
      <c r="O142" s="989"/>
      <c r="P142" s="989"/>
      <c r="Q142" s="989"/>
      <c r="R142" s="989"/>
      <c r="S142" s="989"/>
      <c r="T142" s="989"/>
    </row>
    <row r="143" spans="1:20" x14ac:dyDescent="0.35">
      <c r="A143" s="989"/>
      <c r="B143" s="2208" t="s">
        <v>2253</v>
      </c>
      <c r="C143" s="2208"/>
      <c r="D143" s="2208"/>
      <c r="E143" s="2208"/>
      <c r="F143" s="1115" t="e">
        <f ca="1">+IF(Anagrafica!$G$2="Capo II",G137,G133)</f>
        <v>#REF!</v>
      </c>
      <c r="G143" s="989"/>
      <c r="H143" s="989"/>
      <c r="I143" s="989"/>
      <c r="J143" s="989"/>
      <c r="K143" s="989"/>
      <c r="L143" s="989"/>
      <c r="M143" s="989"/>
      <c r="N143" s="989"/>
      <c r="O143" s="989"/>
      <c r="P143" s="989"/>
      <c r="Q143" s="989"/>
      <c r="R143" s="989"/>
      <c r="S143" s="989"/>
      <c r="T143" s="989"/>
    </row>
    <row r="144" spans="1:20" x14ac:dyDescent="0.35">
      <c r="A144" s="989"/>
      <c r="B144" s="2208" t="s">
        <v>2274</v>
      </c>
      <c r="C144" s="2208"/>
      <c r="D144" s="2208"/>
      <c r="E144" s="2208"/>
      <c r="F144" s="1116">
        <f ca="1">+IF(Anagrafica!$G$2="Capo II",H137,H133)</f>
        <v>0</v>
      </c>
      <c r="G144" s="989"/>
      <c r="H144" s="989"/>
      <c r="I144" s="989"/>
      <c r="J144" s="989"/>
      <c r="K144" s="989"/>
      <c r="L144" s="989"/>
      <c r="M144" s="989"/>
      <c r="N144" s="989"/>
      <c r="O144" s="989"/>
      <c r="P144" s="989"/>
      <c r="Q144" s="989"/>
      <c r="R144" s="989"/>
      <c r="S144" s="989"/>
      <c r="T144" s="989"/>
    </row>
    <row r="145" spans="1:20" x14ac:dyDescent="0.35">
      <c r="A145" s="989"/>
      <c r="B145" s="2235" t="s">
        <v>2255</v>
      </c>
      <c r="C145" s="2236"/>
      <c r="D145" s="2236"/>
      <c r="E145" s="2237"/>
      <c r="F145" s="1116" t="e">
        <f ca="1">+Anticipo!F47*(F143/Anagrafica!C32)</f>
        <v>#REF!</v>
      </c>
      <c r="G145" s="989"/>
      <c r="H145" s="989"/>
      <c r="I145" s="989"/>
      <c r="J145" s="989"/>
      <c r="K145" s="989"/>
      <c r="L145" s="989"/>
      <c r="M145" s="989"/>
      <c r="N145" s="989"/>
      <c r="O145" s="989"/>
      <c r="P145" s="989"/>
      <c r="Q145" s="989"/>
      <c r="R145" s="989"/>
      <c r="S145" s="989"/>
      <c r="T145" s="989"/>
    </row>
    <row r="146" spans="1:20" ht="15" customHeight="1" x14ac:dyDescent="0.35">
      <c r="A146" s="989"/>
      <c r="B146" s="2235" t="s">
        <v>2275</v>
      </c>
      <c r="C146" s="2236"/>
      <c r="D146" s="2236"/>
      <c r="E146" s="2237"/>
      <c r="F146" s="1116">
        <f ca="1">IFERROR(+IF(+'3 SAL VNQ'!BA24-F145&lt;0,0,+'3 SAL VNQ'!BA24-F145),0)</f>
        <v>0</v>
      </c>
      <c r="G146" s="989"/>
      <c r="H146" s="989"/>
      <c r="I146" s="989"/>
      <c r="J146" s="989"/>
      <c r="K146" s="989"/>
      <c r="L146" s="989"/>
      <c r="M146" s="989"/>
      <c r="N146" s="989"/>
      <c r="O146" s="989"/>
      <c r="P146" s="989"/>
      <c r="Q146" s="989"/>
      <c r="R146" s="989"/>
      <c r="S146" s="989"/>
      <c r="T146" s="989"/>
    </row>
    <row r="147" spans="1:20" x14ac:dyDescent="0.35">
      <c r="A147" s="989"/>
      <c r="B147" s="2208" t="s">
        <v>2276</v>
      </c>
      <c r="C147" s="2208"/>
      <c r="D147" s="2208"/>
      <c r="E147" s="2235"/>
      <c r="F147" s="1117">
        <f ca="1">+IF(Anagrafica!$G$2="Capo II",I137,I133)</f>
        <v>0</v>
      </c>
      <c r="G147" s="989"/>
      <c r="H147" s="989"/>
      <c r="I147" s="989"/>
      <c r="J147" s="989"/>
      <c r="K147" s="989"/>
      <c r="L147" s="989"/>
      <c r="M147" s="989"/>
      <c r="N147" s="989"/>
      <c r="O147" s="989"/>
      <c r="P147" s="989"/>
      <c r="Q147" s="989"/>
      <c r="R147" s="989"/>
      <c r="S147" s="989"/>
      <c r="T147" s="989"/>
    </row>
    <row r="148" spans="1:20" ht="15.75" customHeight="1" thickBot="1" x14ac:dyDescent="0.4">
      <c r="A148" s="989"/>
      <c r="B148" s="2208" t="s">
        <v>2277</v>
      </c>
      <c r="C148" s="2208"/>
      <c r="D148" s="2208"/>
      <c r="E148" s="2208"/>
      <c r="F148" s="1117">
        <f ca="1">IFERROR(+IF(F143&lt;=0,0,+'3 SAL VNQ'!BB24),0)</f>
        <v>0</v>
      </c>
      <c r="G148" s="989"/>
      <c r="H148" s="989"/>
      <c r="I148" s="989"/>
      <c r="J148" s="989"/>
      <c r="K148" s="989"/>
      <c r="L148" s="989"/>
      <c r="M148" s="989"/>
      <c r="N148" s="989"/>
      <c r="O148" s="989"/>
      <c r="P148" s="989"/>
      <c r="Q148" s="989"/>
      <c r="R148" s="989"/>
      <c r="S148" s="989"/>
      <c r="T148" s="989"/>
    </row>
    <row r="149" spans="1:20" ht="15" thickBot="1" x14ac:dyDescent="0.4">
      <c r="A149" s="989"/>
      <c r="B149" s="2231" t="s">
        <v>2278</v>
      </c>
      <c r="C149" s="2231"/>
      <c r="D149" s="2231"/>
      <c r="E149" s="2231"/>
      <c r="F149" s="1118">
        <f ca="1">+F148+F146</f>
        <v>0</v>
      </c>
      <c r="G149" s="989"/>
      <c r="H149" s="989"/>
      <c r="I149" s="989"/>
      <c r="J149" s="989"/>
      <c r="K149" s="989"/>
      <c r="L149" s="989"/>
      <c r="M149" s="989"/>
      <c r="N149" s="989"/>
      <c r="O149" s="989"/>
      <c r="P149" s="989"/>
      <c r="Q149" s="989"/>
      <c r="R149" s="989"/>
      <c r="S149" s="989"/>
      <c r="T149" s="989"/>
    </row>
    <row r="150" spans="1:20" ht="15" thickBot="1" x14ac:dyDescent="0.4">
      <c r="A150" s="989"/>
      <c r="B150" s="989"/>
      <c r="C150" s="989"/>
      <c r="D150" s="989"/>
      <c r="E150" s="989"/>
      <c r="F150" s="989"/>
      <c r="G150" s="989"/>
      <c r="H150" s="2161" t="s">
        <v>2165</v>
      </c>
      <c r="I150" s="2162"/>
      <c r="J150" s="1203"/>
      <c r="K150" s="989"/>
      <c r="L150" s="989"/>
      <c r="M150" s="989"/>
      <c r="N150" s="989"/>
      <c r="O150" s="989"/>
      <c r="P150" s="989"/>
      <c r="Q150" s="989"/>
      <c r="R150" s="989"/>
      <c r="S150" s="989"/>
      <c r="T150" s="989"/>
    </row>
    <row r="151" spans="1:20" ht="15" thickBot="1" x14ac:dyDescent="0.4">
      <c r="A151" s="989"/>
      <c r="B151" s="989"/>
      <c r="C151" s="989"/>
      <c r="D151" s="989"/>
      <c r="E151" s="989"/>
      <c r="F151" s="989"/>
      <c r="G151" s="989"/>
      <c r="H151" s="2161" t="s">
        <v>2166</v>
      </c>
      <c r="I151" s="2162"/>
      <c r="J151" s="1203"/>
      <c r="K151" s="989"/>
      <c r="L151" s="989"/>
      <c r="M151" s="989"/>
      <c r="N151" s="989"/>
      <c r="O151" s="989"/>
      <c r="P151" s="989"/>
      <c r="Q151" s="989"/>
      <c r="R151" s="989"/>
      <c r="S151" s="989"/>
      <c r="T151" s="989"/>
    </row>
    <row r="152" spans="1:20" ht="15" thickBot="1" x14ac:dyDescent="0.4">
      <c r="A152" s="989"/>
      <c r="B152" s="989"/>
      <c r="C152" s="989"/>
      <c r="D152" s="989"/>
      <c r="E152" s="989"/>
      <c r="F152" s="989"/>
      <c r="G152" s="989"/>
      <c r="H152" s="2194" t="s">
        <v>2167</v>
      </c>
      <c r="I152" s="2195"/>
      <c r="J152" s="1203"/>
      <c r="K152" s="989"/>
      <c r="L152" s="989"/>
      <c r="M152" s="989"/>
      <c r="N152" s="989"/>
      <c r="O152" s="989"/>
      <c r="P152" s="989"/>
      <c r="Q152" s="989"/>
      <c r="R152" s="989"/>
      <c r="S152" s="989"/>
      <c r="T152" s="989"/>
    </row>
    <row r="153" spans="1:20" x14ac:dyDescent="0.35">
      <c r="A153" s="989"/>
      <c r="B153" s="989"/>
      <c r="C153" s="989"/>
      <c r="D153" s="989"/>
      <c r="E153" s="989"/>
      <c r="F153" s="989"/>
      <c r="G153" s="989"/>
      <c r="H153" s="989"/>
      <c r="I153" s="989"/>
      <c r="J153" s="989"/>
      <c r="K153" s="989"/>
      <c r="L153" s="989"/>
      <c r="M153" s="989"/>
      <c r="N153" s="989"/>
      <c r="O153" s="989"/>
      <c r="P153" s="989"/>
      <c r="Q153" s="989"/>
      <c r="R153" s="989"/>
      <c r="S153" s="989"/>
      <c r="T153" s="989"/>
    </row>
    <row r="154" spans="1:20" x14ac:dyDescent="0.35">
      <c r="A154" s="989"/>
      <c r="B154" s="989"/>
      <c r="C154" s="989"/>
      <c r="D154" s="989"/>
      <c r="E154" s="989"/>
      <c r="F154" s="989"/>
      <c r="G154" s="989"/>
      <c r="H154" s="989"/>
      <c r="I154" s="989"/>
      <c r="J154" s="989"/>
      <c r="K154" s="989"/>
      <c r="L154" s="989"/>
      <c r="M154" s="989"/>
      <c r="N154" s="989"/>
      <c r="O154" s="989"/>
      <c r="P154" s="989"/>
      <c r="Q154" s="989"/>
      <c r="R154" s="989"/>
      <c r="S154" s="989"/>
      <c r="T154" s="989"/>
    </row>
    <row r="155" spans="1:20" x14ac:dyDescent="0.35">
      <c r="A155" s="989"/>
      <c r="B155" s="989"/>
      <c r="C155" s="989"/>
      <c r="D155" s="989"/>
      <c r="E155" s="989"/>
      <c r="F155" s="989"/>
      <c r="G155" s="989"/>
      <c r="H155" s="989"/>
      <c r="I155" s="989"/>
      <c r="J155" s="989"/>
      <c r="K155" s="989"/>
      <c r="L155" s="989"/>
      <c r="M155" s="989"/>
      <c r="N155" s="989"/>
      <c r="O155" s="989"/>
      <c r="P155" s="989"/>
      <c r="Q155" s="989"/>
      <c r="R155" s="989"/>
      <c r="S155" s="989"/>
      <c r="T155" s="989"/>
    </row>
    <row r="156" spans="1:20" x14ac:dyDescent="0.35">
      <c r="A156" s="989"/>
      <c r="B156" s="989"/>
      <c r="C156" s="989"/>
      <c r="D156" s="989"/>
      <c r="E156" s="989"/>
      <c r="F156" s="989"/>
      <c r="G156" s="989"/>
      <c r="H156" s="989"/>
      <c r="I156" s="989"/>
      <c r="J156" s="989"/>
      <c r="K156" s="989"/>
      <c r="L156" s="989"/>
      <c r="M156" s="989"/>
      <c r="N156" s="989"/>
      <c r="O156" s="989"/>
      <c r="P156" s="989"/>
      <c r="Q156" s="989"/>
      <c r="R156" s="989"/>
      <c r="S156" s="989"/>
      <c r="T156" s="989"/>
    </row>
    <row r="157" spans="1:20" x14ac:dyDescent="0.35">
      <c r="A157" s="989"/>
      <c r="B157" s="989"/>
      <c r="C157" s="989"/>
      <c r="D157" s="989"/>
      <c r="E157" s="989"/>
      <c r="F157" s="989"/>
      <c r="G157" s="989"/>
      <c r="H157" s="989"/>
      <c r="I157" s="989"/>
      <c r="J157" s="989"/>
      <c r="K157" s="989"/>
      <c r="L157" s="989"/>
      <c r="M157" s="989"/>
      <c r="N157" s="989"/>
      <c r="O157" s="989"/>
      <c r="P157" s="989"/>
      <c r="Q157" s="989"/>
      <c r="R157" s="989"/>
      <c r="S157" s="989"/>
      <c r="T157" s="989"/>
    </row>
    <row r="158" spans="1:20" x14ac:dyDescent="0.35">
      <c r="A158" s="989"/>
      <c r="B158" s="989"/>
      <c r="C158" s="989"/>
      <c r="D158" s="989"/>
      <c r="E158" s="989"/>
      <c r="F158" s="989"/>
      <c r="G158" s="989"/>
      <c r="H158" s="989"/>
      <c r="I158" s="989"/>
      <c r="J158" s="989"/>
      <c r="K158" s="989"/>
      <c r="L158" s="989"/>
      <c r="M158" s="989"/>
      <c r="N158" s="989"/>
      <c r="O158" s="989"/>
      <c r="P158" s="989"/>
      <c r="Q158" s="989"/>
      <c r="R158" s="989"/>
      <c r="S158" s="989"/>
      <c r="T158" s="989"/>
    </row>
    <row r="159" spans="1:20" x14ac:dyDescent="0.35">
      <c r="A159" s="989"/>
      <c r="B159" s="989"/>
      <c r="C159" s="989"/>
      <c r="D159" s="989"/>
      <c r="E159" s="989"/>
      <c r="F159" s="989"/>
      <c r="G159" s="989"/>
      <c r="H159" s="989"/>
      <c r="I159" s="989"/>
      <c r="J159" s="989"/>
      <c r="K159" s="989"/>
      <c r="L159" s="989"/>
      <c r="M159" s="989"/>
      <c r="N159" s="989"/>
      <c r="O159" s="989"/>
      <c r="P159" s="989"/>
      <c r="Q159" s="989"/>
      <c r="R159" s="989"/>
      <c r="S159" s="989"/>
      <c r="T159" s="989"/>
    </row>
    <row r="160" spans="1:20" x14ac:dyDescent="0.35">
      <c r="A160" s="989"/>
      <c r="B160" s="989"/>
      <c r="C160" s="989"/>
      <c r="D160" s="989"/>
      <c r="E160" s="989"/>
      <c r="F160" s="989"/>
      <c r="G160" s="989"/>
      <c r="H160" s="989"/>
      <c r="I160" s="989"/>
      <c r="J160" s="989"/>
      <c r="K160" s="989"/>
      <c r="L160" s="989"/>
      <c r="M160" s="989"/>
      <c r="N160" s="989"/>
      <c r="O160" s="989"/>
      <c r="P160" s="989"/>
      <c r="Q160" s="989"/>
      <c r="R160" s="989"/>
      <c r="S160" s="989"/>
      <c r="T160" s="989"/>
    </row>
    <row r="161" spans="1:20" x14ac:dyDescent="0.35">
      <c r="A161" s="989"/>
      <c r="B161" s="989"/>
      <c r="C161" s="989"/>
      <c r="D161" s="989"/>
      <c r="E161" s="989"/>
      <c r="F161" s="989"/>
      <c r="G161" s="989"/>
      <c r="H161" s="989"/>
      <c r="I161" s="989"/>
      <c r="J161" s="989"/>
      <c r="K161" s="989"/>
      <c r="L161" s="989"/>
      <c r="M161" s="989"/>
      <c r="N161" s="989"/>
      <c r="O161" s="989"/>
      <c r="P161" s="989"/>
      <c r="Q161" s="989"/>
      <c r="R161" s="989"/>
      <c r="S161" s="989"/>
      <c r="T161" s="989"/>
    </row>
    <row r="162" spans="1:20" x14ac:dyDescent="0.35">
      <c r="A162" s="989"/>
      <c r="B162" s="989"/>
      <c r="C162" s="989"/>
      <c r="D162" s="989"/>
      <c r="E162" s="989"/>
      <c r="F162" s="989"/>
      <c r="G162" s="989"/>
      <c r="H162" s="989"/>
      <c r="I162" s="989"/>
      <c r="J162" s="989"/>
      <c r="K162" s="989"/>
      <c r="L162" s="989"/>
      <c r="M162" s="989"/>
      <c r="N162" s="989"/>
      <c r="O162" s="989"/>
      <c r="P162" s="989"/>
      <c r="Q162" s="989"/>
      <c r="R162" s="989"/>
      <c r="S162" s="989"/>
      <c r="T162" s="989"/>
    </row>
    <row r="163" spans="1:20" x14ac:dyDescent="0.35">
      <c r="A163" s="989"/>
      <c r="B163" s="989"/>
      <c r="C163" s="989"/>
      <c r="D163" s="989"/>
      <c r="E163" s="989"/>
      <c r="F163" s="989"/>
      <c r="G163" s="989"/>
      <c r="H163" s="989"/>
      <c r="I163" s="989"/>
      <c r="J163" s="989"/>
      <c r="K163" s="989"/>
      <c r="L163" s="989"/>
      <c r="M163" s="989"/>
      <c r="N163" s="989"/>
      <c r="O163" s="989"/>
      <c r="P163" s="989"/>
      <c r="Q163" s="989"/>
      <c r="R163" s="989"/>
      <c r="S163" s="989"/>
      <c r="T163" s="989"/>
    </row>
    <row r="164" spans="1:20" x14ac:dyDescent="0.35">
      <c r="A164" s="989"/>
      <c r="B164" s="989"/>
      <c r="C164" s="989"/>
      <c r="D164" s="989"/>
      <c r="E164" s="989"/>
      <c r="F164" s="989"/>
      <c r="G164" s="989"/>
      <c r="H164" s="989"/>
      <c r="I164" s="989"/>
      <c r="J164" s="989"/>
      <c r="K164" s="989"/>
      <c r="L164" s="989"/>
      <c r="M164" s="989"/>
      <c r="N164" s="989"/>
      <c r="O164" s="989"/>
      <c r="P164" s="989"/>
      <c r="Q164" s="989"/>
      <c r="R164" s="989"/>
      <c r="S164" s="989"/>
      <c r="T164" s="989"/>
    </row>
    <row r="165" spans="1:20" x14ac:dyDescent="0.35">
      <c r="A165" s="989"/>
      <c r="B165" s="989"/>
      <c r="C165" s="989"/>
      <c r="D165" s="989"/>
      <c r="E165" s="989"/>
      <c r="F165" s="989"/>
      <c r="G165" s="989"/>
      <c r="H165" s="989"/>
      <c r="I165" s="989"/>
      <c r="J165" s="989"/>
      <c r="K165" s="989"/>
      <c r="L165" s="989"/>
      <c r="M165" s="989"/>
      <c r="N165" s="989"/>
      <c r="O165" s="989"/>
      <c r="P165" s="989"/>
      <c r="Q165" s="989"/>
      <c r="R165" s="989"/>
      <c r="S165" s="989"/>
      <c r="T165" s="989"/>
    </row>
    <row r="166" spans="1:20" x14ac:dyDescent="0.35">
      <c r="A166" s="989"/>
      <c r="B166" s="989"/>
      <c r="C166" s="989"/>
      <c r="D166" s="989"/>
      <c r="E166" s="989"/>
      <c r="F166" s="989"/>
      <c r="G166" s="989"/>
      <c r="H166" s="989"/>
      <c r="I166" s="989"/>
      <c r="J166" s="989"/>
      <c r="K166" s="989"/>
      <c r="L166" s="989"/>
      <c r="M166" s="989"/>
      <c r="N166" s="989"/>
      <c r="O166" s="989"/>
      <c r="P166" s="989"/>
      <c r="Q166" s="989"/>
      <c r="R166" s="989"/>
      <c r="S166" s="989"/>
      <c r="T166" s="989"/>
    </row>
    <row r="167" spans="1:20" x14ac:dyDescent="0.35">
      <c r="A167" s="989"/>
      <c r="B167" s="989"/>
      <c r="C167" s="989"/>
      <c r="D167" s="989"/>
      <c r="E167" s="989"/>
      <c r="F167" s="989"/>
      <c r="G167" s="989"/>
      <c r="H167" s="989"/>
      <c r="I167" s="989"/>
      <c r="J167" s="989"/>
      <c r="K167" s="989"/>
      <c r="L167" s="989"/>
      <c r="M167" s="989"/>
      <c r="N167" s="989"/>
      <c r="O167" s="989"/>
      <c r="P167" s="989"/>
      <c r="Q167" s="989"/>
      <c r="R167" s="989"/>
      <c r="S167" s="989"/>
      <c r="T167" s="989"/>
    </row>
    <row r="168" spans="1:20" s="989" customFormat="1" x14ac:dyDescent="0.35"/>
    <row r="169" spans="1:20" s="989" customFormat="1" x14ac:dyDescent="0.35"/>
    <row r="170" spans="1:20" s="989" customFormat="1" x14ac:dyDescent="0.35"/>
    <row r="171" spans="1:20" s="989" customFormat="1" x14ac:dyDescent="0.35"/>
    <row r="172" spans="1:20" s="989" customFormat="1" x14ac:dyDescent="0.35"/>
    <row r="173" spans="1:20" s="989" customFormat="1" x14ac:dyDescent="0.35"/>
    <row r="174" spans="1:20" s="989" customFormat="1" x14ac:dyDescent="0.35"/>
    <row r="175" spans="1:20" s="989" customFormat="1" x14ac:dyDescent="0.35"/>
    <row r="176" spans="1:20" s="989" customFormat="1" x14ac:dyDescent="0.35"/>
    <row r="177" s="989" customFormat="1" x14ac:dyDescent="0.35"/>
    <row r="178" s="989" customFormat="1" x14ac:dyDescent="0.35"/>
    <row r="179" s="989" customFormat="1" x14ac:dyDescent="0.35"/>
    <row r="180" s="989" customFormat="1" x14ac:dyDescent="0.35"/>
    <row r="181" s="989" customFormat="1" x14ac:dyDescent="0.35"/>
    <row r="182" s="989" customFormat="1" x14ac:dyDescent="0.35"/>
    <row r="183" s="989" customFormat="1" x14ac:dyDescent="0.35"/>
  </sheetData>
  <mergeCells count="118">
    <mergeCell ref="R69:S69"/>
    <mergeCell ref="R70:S70"/>
    <mergeCell ref="R71:S71"/>
    <mergeCell ref="R72:S72"/>
    <mergeCell ref="R73:S73"/>
    <mergeCell ref="R74:S74"/>
    <mergeCell ref="R75:S75"/>
    <mergeCell ref="R76:S76"/>
    <mergeCell ref="J90:K90"/>
    <mergeCell ref="B140:E140"/>
    <mergeCell ref="B141:E141"/>
    <mergeCell ref="B142:E142"/>
    <mergeCell ref="B86:D86"/>
    <mergeCell ref="B81:S81"/>
    <mergeCell ref="B82:S82"/>
    <mergeCell ref="B83:S83"/>
    <mergeCell ref="C127:D127"/>
    <mergeCell ref="B87:D87"/>
    <mergeCell ref="B97:K97"/>
    <mergeCell ref="B104:T104"/>
    <mergeCell ref="B113:K113"/>
    <mergeCell ref="J91:K91"/>
    <mergeCell ref="J92:K92"/>
    <mergeCell ref="J93:K93"/>
    <mergeCell ref="J94:K94"/>
    <mergeCell ref="B21:K21"/>
    <mergeCell ref="B2:K2"/>
    <mergeCell ref="C4:F4"/>
    <mergeCell ref="B6:G6"/>
    <mergeCell ref="H6:K6"/>
    <mergeCell ref="B8:K8"/>
    <mergeCell ref="B10:B11"/>
    <mergeCell ref="C10:K11"/>
    <mergeCell ref="C13:D13"/>
    <mergeCell ref="G13:K13"/>
    <mergeCell ref="C15:K15"/>
    <mergeCell ref="B16:K16"/>
    <mergeCell ref="F20:K20"/>
    <mergeCell ref="B22:K22"/>
    <mergeCell ref="B23:K25"/>
    <mergeCell ref="B65:T65"/>
    <mergeCell ref="B79:S79"/>
    <mergeCell ref="B80:S80"/>
    <mergeCell ref="B31:I31"/>
    <mergeCell ref="B32:E32"/>
    <mergeCell ref="G32:I32"/>
    <mergeCell ref="B33:E33"/>
    <mergeCell ref="G33:I33"/>
    <mergeCell ref="B34:E34"/>
    <mergeCell ref="G34:I34"/>
    <mergeCell ref="B35:I35"/>
    <mergeCell ref="B36:E36"/>
    <mergeCell ref="G37:I37"/>
    <mergeCell ref="B38:E38"/>
    <mergeCell ref="G36:I36"/>
    <mergeCell ref="B37:E37"/>
    <mergeCell ref="B27:B29"/>
    <mergeCell ref="B42:E42"/>
    <mergeCell ref="G42:I42"/>
    <mergeCell ref="B43:E43"/>
    <mergeCell ref="G43:I43"/>
    <mergeCell ref="B44:E44"/>
    <mergeCell ref="G44:I44"/>
    <mergeCell ref="G38:I38"/>
    <mergeCell ref="B40:E40"/>
    <mergeCell ref="G40:I40"/>
    <mergeCell ref="B41:E41"/>
    <mergeCell ref="G41:I41"/>
    <mergeCell ref="B48:E48"/>
    <mergeCell ref="B49:E49"/>
    <mergeCell ref="B50:E50"/>
    <mergeCell ref="G49:I49"/>
    <mergeCell ref="G50:I50"/>
    <mergeCell ref="B51:E51"/>
    <mergeCell ref="B45:E45"/>
    <mergeCell ref="G45:I45"/>
    <mergeCell ref="B46:I46"/>
    <mergeCell ref="B47:E47"/>
    <mergeCell ref="G47:I47"/>
    <mergeCell ref="B52:E52"/>
    <mergeCell ref="B53:E53"/>
    <mergeCell ref="G51:I51"/>
    <mergeCell ref="G52:I52"/>
    <mergeCell ref="G53:I53"/>
    <mergeCell ref="B56:E56"/>
    <mergeCell ref="G56:I56"/>
    <mergeCell ref="B57:E57"/>
    <mergeCell ref="G57:I57"/>
    <mergeCell ref="B58:E58"/>
    <mergeCell ref="G58:I58"/>
    <mergeCell ref="B54:E54"/>
    <mergeCell ref="G54:I54"/>
    <mergeCell ref="B55:E55"/>
    <mergeCell ref="G55:I55"/>
    <mergeCell ref="H150:I150"/>
    <mergeCell ref="H151:I151"/>
    <mergeCell ref="H152:I152"/>
    <mergeCell ref="B149:E149"/>
    <mergeCell ref="B145:E145"/>
    <mergeCell ref="B59:E59"/>
    <mergeCell ref="G59:I59"/>
    <mergeCell ref="B60:E60"/>
    <mergeCell ref="G60:I60"/>
    <mergeCell ref="B61:E61"/>
    <mergeCell ref="G61:I61"/>
    <mergeCell ref="B114:K114"/>
    <mergeCell ref="B115:K115"/>
    <mergeCell ref="B116:K116"/>
    <mergeCell ref="B122:T122"/>
    <mergeCell ref="E127:I127"/>
    <mergeCell ref="B98:K98"/>
    <mergeCell ref="B99:K99"/>
    <mergeCell ref="B100:K100"/>
    <mergeCell ref="B147:E147"/>
    <mergeCell ref="B148:E148"/>
    <mergeCell ref="B143:E143"/>
    <mergeCell ref="B144:E144"/>
    <mergeCell ref="B146:E146"/>
  </mergeCells>
  <conditionalFormatting sqref="F20">
    <cfRule type="expression" dxfId="73" priority="28">
      <formula>$E$20/$K$17&gt;20%</formula>
    </cfRule>
  </conditionalFormatting>
  <conditionalFormatting sqref="E110">
    <cfRule type="expression" dxfId="72" priority="19">
      <formula>IF(SUMIFS(Imponibilesal2,Quietanzasal2,"NO")&gt;$E$110,1,0)</formula>
    </cfRule>
  </conditionalFormatting>
  <dataValidations count="8">
    <dataValidation type="list" allowBlank="1" showInputMessage="1" showErrorMessage="1" sqref="E85 I70:I75" xr:uid="{58F03E80-37E9-4213-BD47-AF2B3298F28B}">
      <formula1>"SI,NO"</formula1>
    </dataValidation>
    <dataValidation errorStyle="warning" operator="lessThanOrEqual" allowBlank="1" showInputMessage="1" showErrorMessage="1" errorTitle="Superamento Livello anticipo" error="Il valore richiesto è superiore al 40% previsto dalla normativa" sqref="E17" xr:uid="{91377495-CE6E-402A-AE9B-F718F646EDE1}"/>
    <dataValidation operator="greaterThan" allowBlank="1" showInputMessage="1" showErrorMessage="1" errorTitle="prova" error="prova" sqref="D17" xr:uid="{6EC7E84E-78EA-4E01-887A-925930A72929}"/>
    <dataValidation type="decimal" operator="greaterThan" allowBlank="1" showInputMessage="1" showErrorMessage="1" errorTitle="prova" error="prova" sqref="C17" xr:uid="{95720638-FBBD-43EB-BA67-1BCB61ECAFF8}">
      <formula1>K17*0.1</formula1>
    </dataValidation>
    <dataValidation type="list" allowBlank="1" showInputMessage="1" showErrorMessage="1" sqref="H107:J109 H91:I93 F37:F38 F34 N70:Q75" xr:uid="{22CC0DF0-E2E7-4954-8769-E96717115725}">
      <formula1>"Si,No"</formula1>
    </dataValidation>
    <dataValidation type="list" allowBlank="1" showInputMessage="1" showErrorMessage="1" sqref="F33" xr:uid="{00E46606-DEAB-490A-941D-302E147BB51A}">
      <formula1>"Si,No,"</formula1>
    </dataValidation>
    <dataValidation type="list" allowBlank="1" showInputMessage="1" showErrorMessage="1" sqref="F41:F45 F48:F61" xr:uid="{D53D50C7-83F1-48DC-A192-51D44C8E81C1}">
      <formula1>"Si,No,Non neces."</formula1>
    </dataValidation>
    <dataValidation type="list" allowBlank="1" showInputMessage="1" showErrorMessage="1" sqref="H28:H29" xr:uid="{9F8294E6-F2C0-4BBA-8E82-F15D9ECEE0F8}">
      <formula1>"Digitale,Cartacea"</formula1>
    </dataValidation>
  </dataValidations>
  <pageMargins left="0.7" right="0.7" top="0.75" bottom="0.75" header="0.3" footer="0.3"/>
  <pageSetup orientation="portrait" r:id="rId1"/>
  <legacyDrawing r:id="rId2"/>
  <extLst>
    <ext xmlns:x14="http://schemas.microsoft.com/office/spreadsheetml/2009/9/main" uri="{78C0D931-6437-407d-A8EE-F0AAD7539E65}">
      <x14:conditionalFormattings>
        <x14:conditionalFormatting xmlns:xm="http://schemas.microsoft.com/office/excel/2006/main">
          <x14:cfRule type="expression" priority="27" id="{82F6FCFB-0F39-4E4F-B8CD-C18423857A60}">
            <xm:f>+IF(Anagrafica!$G$2="Capo III",1,0)</xm:f>
            <x14:dxf>
              <font>
                <b/>
                <i val="0"/>
              </font>
              <fill>
                <patternFill>
                  <bgColor theme="8" tint="0.59996337778862885"/>
                </patternFill>
              </fill>
              <border>
                <top style="thin">
                  <color auto="1"/>
                </top>
                <bottom style="thin">
                  <color auto="1"/>
                </bottom>
              </border>
            </x14:dxf>
          </x14:cfRule>
          <xm:sqref>B133</xm:sqref>
        </x14:conditionalFormatting>
        <x14:conditionalFormatting xmlns:xm="http://schemas.microsoft.com/office/excel/2006/main">
          <x14:cfRule type="expression" priority="24" id="{619E59B2-C519-4CD3-8900-6A4D9027D118}">
            <xm:f>+IF(Anagrafica!$G$2="Capo III",1,0)</xm:f>
            <x14:dxf>
              <fill>
                <patternFill>
                  <bgColor theme="8" tint="0.59996337778862885"/>
                </patternFill>
              </fill>
            </x14:dxf>
          </x14:cfRule>
          <xm:sqref>C133:J133</xm:sqref>
        </x14:conditionalFormatting>
        <x14:conditionalFormatting xmlns:xm="http://schemas.microsoft.com/office/excel/2006/main">
          <x14:cfRule type="expression" priority="18" id="{42BCACEA-A29C-43F2-A037-37B639D6B9A1}">
            <xm:f>+IF(Anagrafica!$G$2="Capo III",1,0)</xm:f>
            <x14:dxf>
              <font>
                <color theme="0"/>
              </font>
              <fill>
                <patternFill>
                  <bgColor theme="0"/>
                </patternFill>
              </fill>
              <border>
                <left/>
                <right/>
                <top/>
                <bottom/>
                <vertical/>
                <horizontal/>
              </border>
            </x14:dxf>
          </x14:cfRule>
          <xm:sqref>B134:J137</xm:sqref>
        </x14:conditionalFormatting>
        <x14:conditionalFormatting xmlns:xm="http://schemas.microsoft.com/office/excel/2006/main">
          <x14:cfRule type="expression" priority="17" id="{83BA8053-84CF-4B72-89D2-2613038864BF}">
            <xm:f>+IF(Anagrafica!$G$2="Capo III",1,0)</xm:f>
            <x14:dxf>
              <border>
                <left/>
                <right/>
                <top style="thin">
                  <color auto="1"/>
                </top>
                <bottom/>
                <vertical/>
                <horizontal/>
              </border>
            </x14:dxf>
          </x14:cfRule>
          <xm:sqref>B134:J134</xm:sqref>
        </x14:conditionalFormatting>
        <x14:conditionalFormatting xmlns:xm="http://schemas.microsoft.com/office/excel/2006/main">
          <x14:cfRule type="expression" priority="6" id="{61FB6DAC-012A-4B40-9712-403BF7287271}">
            <xm:f>IF(Anagrafica!$C$38&lt;=150000,1,0)</xm:f>
            <x14:dxf>
              <font>
                <color theme="0"/>
              </font>
              <fill>
                <patternFill>
                  <bgColor theme="0"/>
                </patternFill>
              </fill>
              <border>
                <left/>
                <right/>
                <top/>
                <bottom/>
              </border>
            </x14:dxf>
          </x14:cfRule>
          <xm:sqref>B31:I34</xm:sqref>
        </x14:conditionalFormatting>
        <x14:conditionalFormatting xmlns:xm="http://schemas.microsoft.com/office/excel/2006/main">
          <x14:cfRule type="expression" priority="3" id="{03F0C299-B688-4061-993B-73A4BF10005D}">
            <xm:f>+IF(Anagrafica!$C$42&lt;&gt;"n.a.",1,0)</xm:f>
            <x14:dxf>
              <border>
                <top style="dashed">
                  <color auto="1"/>
                </top>
                <vertical/>
                <horizontal/>
              </border>
            </x14:dxf>
          </x14:cfRule>
          <x14:cfRule type="expression" priority="5" id="{D17210CE-FBE8-4BBD-AFE9-FC19FFA8D629}">
            <xm:f>+IF(Anagrafica!$C$42="n.a.",1,0)</xm:f>
            <x14:dxf>
              <font>
                <color theme="0"/>
              </font>
              <fill>
                <patternFill>
                  <bgColor theme="0"/>
                </patternFill>
              </fill>
              <border>
                <left/>
                <right/>
              </border>
            </x14:dxf>
          </x14:cfRule>
          <xm:sqref>B38:I38</xm:sqref>
        </x14:conditionalFormatting>
        <x14:conditionalFormatting xmlns:xm="http://schemas.microsoft.com/office/excel/2006/main">
          <x14:cfRule type="expression" priority="4" id="{FA4F5C84-0596-4685-9163-92D2A3A4F4E4}">
            <xm:f>+IF(AND(Anagrafica!$C$41="n.a.",Anagrafica!$C$42="n.a."),1,0)</xm:f>
            <x14:dxf>
              <font>
                <color theme="0"/>
              </font>
              <fill>
                <patternFill>
                  <bgColor theme="0"/>
                </patternFill>
              </fill>
              <border>
                <left/>
                <right/>
                <bottom/>
                <vertical/>
                <horizontal/>
              </border>
            </x14:dxf>
          </x14:cfRule>
          <xm:sqref>B35:I38</xm:sqref>
        </x14:conditionalFormatting>
        <x14:conditionalFormatting xmlns:xm="http://schemas.microsoft.com/office/excel/2006/main">
          <x14:cfRule type="expression" priority="2" id="{EBDAEEA5-1CF7-48C6-8628-2ACFC21E5030}">
            <xm:f>+IF(AND(Anagrafica!$C$41="n.a.",Anagrafica!$C$42="n.a."),1,0)</xm:f>
            <x14:dxf>
              <font>
                <color theme="0"/>
              </font>
              <fill>
                <patternFill>
                  <bgColor theme="0"/>
                </patternFill>
              </fill>
              <border>
                <left/>
                <right/>
                <top/>
                <bottom/>
                <vertical/>
                <horizontal/>
              </border>
            </x14:dxf>
          </x14:cfRule>
          <xm:sqref>B27:J29</xm:sqref>
        </x14:conditionalFormatting>
        <x14:conditionalFormatting xmlns:xm="http://schemas.microsoft.com/office/excel/2006/main">
          <x14:cfRule type="expression" priority="1" id="{DF045B5B-C466-45C1-976C-845A0B4928EC}">
            <xm:f>+IF(Anagrafica!$C$42="n.a.",1,0)</xm:f>
            <x14:dxf>
              <font>
                <color theme="0"/>
              </font>
              <fill>
                <patternFill>
                  <bgColor theme="0"/>
                </patternFill>
              </fill>
              <border>
                <right/>
                <bottom/>
              </border>
            </x14:dxf>
          </x14:cfRule>
          <xm:sqref>C29:J29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6EB6379C-D3A7-4FE5-8900-8525A44FC3E7}">
          <x14:formula1>
            <xm:f>IF('Dati riepilogativi'!$B$2="Capo II",CAPOII_Att,CapoIII_ATT)</xm:f>
          </x14:formula1>
          <xm:sqref>J70:J75</xm:sqref>
        </x14:dataValidation>
      </x14:dataValidations>
    </ext>
  </extLs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CACF68-7E2E-4F85-8A66-552658FD01D7}">
  <sheetPr codeName="Foglio28"/>
  <dimension ref="A1:L59"/>
  <sheetViews>
    <sheetView topLeftCell="A31" zoomScaleNormal="100" workbookViewId="0">
      <selection activeCell="B16" sqref="B16"/>
    </sheetView>
  </sheetViews>
  <sheetFormatPr defaultRowHeight="14.5" x14ac:dyDescent="0.35"/>
  <cols>
    <col min="1" max="1" width="9.1796875" style="902"/>
    <col min="2" max="2" width="24.81640625" style="902" customWidth="1"/>
    <col min="3" max="3" width="8" style="902" customWidth="1"/>
    <col min="4" max="5" width="10.453125" style="902" bestFit="1" customWidth="1"/>
    <col min="6" max="6" width="9.1796875" style="902"/>
    <col min="7" max="7" width="12" style="902" customWidth="1"/>
    <col min="8" max="8" width="17.453125" style="902" customWidth="1"/>
    <col min="12" max="12" width="13.26953125" bestFit="1" customWidth="1"/>
  </cols>
  <sheetData>
    <row r="1" spans="2:12" ht="15" thickBot="1" x14ac:dyDescent="0.4">
      <c r="B1" s="929" t="s">
        <v>2168</v>
      </c>
      <c r="C1" s="929"/>
      <c r="D1" s="929"/>
      <c r="E1" s="929"/>
      <c r="F1" s="929"/>
      <c r="G1" s="929"/>
      <c r="H1" s="929"/>
    </row>
    <row r="2" spans="2:12" ht="15" thickBot="1" x14ac:dyDescent="0.4">
      <c r="B2" s="2065" t="s">
        <v>2169</v>
      </c>
      <c r="C2" s="2066"/>
      <c r="D2" s="2067"/>
      <c r="E2" s="930" t="s">
        <v>2170</v>
      </c>
      <c r="F2" s="929"/>
      <c r="G2" s="929"/>
      <c r="H2" s="929"/>
    </row>
    <row r="3" spans="2:12" x14ac:dyDescent="0.35">
      <c r="B3" s="929"/>
      <c r="C3" s="929"/>
      <c r="D3" s="929"/>
      <c r="E3" s="929"/>
      <c r="F3" s="929"/>
      <c r="G3" s="929"/>
      <c r="H3" s="929"/>
    </row>
    <row r="4" spans="2:12" ht="15.5" x14ac:dyDescent="0.35">
      <c r="B4" s="903" t="str">
        <f>+CONCATENATE("Mandato di Erogazione 3° SAL PROT. ",C7)</f>
        <v>Mandato di Erogazione 3° SAL PROT. 0</v>
      </c>
      <c r="E4" s="931"/>
    </row>
    <row r="5" spans="2:12" x14ac:dyDescent="0.35">
      <c r="B5" s="902" t="s">
        <v>2171</v>
      </c>
    </row>
    <row r="6" spans="2:12" ht="15" thickBot="1" x14ac:dyDescent="0.4"/>
    <row r="7" spans="2:12" x14ac:dyDescent="0.35">
      <c r="B7" s="904" t="s">
        <v>2172</v>
      </c>
      <c r="C7" s="2068">
        <f>+Anagrafica!C2</f>
        <v>0</v>
      </c>
      <c r="D7" s="2068"/>
      <c r="E7" s="2068"/>
      <c r="F7" s="2068"/>
      <c r="G7" s="2068"/>
      <c r="H7" s="2069"/>
    </row>
    <row r="8" spans="2:12" x14ac:dyDescent="0.35">
      <c r="B8" s="905" t="s">
        <v>2173</v>
      </c>
      <c r="C8" s="2070">
        <f>+Anagrafica!C17</f>
        <v>0</v>
      </c>
      <c r="D8" s="2070"/>
      <c r="E8" s="2070"/>
      <c r="F8" s="2070"/>
      <c r="G8" s="2070"/>
      <c r="H8" s="2071"/>
    </row>
    <row r="9" spans="2:12" x14ac:dyDescent="0.35">
      <c r="B9" s="905" t="s">
        <v>2174</v>
      </c>
      <c r="C9" s="2070">
        <f>+Anagrafica!C18</f>
        <v>0</v>
      </c>
      <c r="D9" s="2070"/>
      <c r="E9" s="2070"/>
      <c r="F9" s="2070"/>
      <c r="G9" s="2070"/>
      <c r="H9" s="2071"/>
    </row>
    <row r="10" spans="2:12" x14ac:dyDescent="0.35">
      <c r="B10" s="905" t="s">
        <v>2175</v>
      </c>
      <c r="C10" s="2070">
        <f>+Anagrafica!C9</f>
        <v>0</v>
      </c>
      <c r="D10" s="2070"/>
      <c r="E10" s="2070"/>
      <c r="F10" s="2070"/>
      <c r="G10" s="2070"/>
      <c r="H10" s="2071"/>
    </row>
    <row r="11" spans="2:12" x14ac:dyDescent="0.35">
      <c r="B11" s="1121" t="s">
        <v>2264</v>
      </c>
      <c r="C11" s="2223" t="str">
        <f>+Anagrafica!C24</f>
        <v>NIT2 - Fondo Unico - NIT 2.0</v>
      </c>
      <c r="D11" s="2224"/>
      <c r="E11" s="2224"/>
      <c r="F11" s="2224"/>
      <c r="G11" s="2224"/>
      <c r="H11" s="2225"/>
    </row>
    <row r="12" spans="2:12" ht="29.5" thickBot="1" x14ac:dyDescent="0.4">
      <c r="B12" s="906" t="s">
        <v>2265</v>
      </c>
      <c r="C12" s="2220" t="str">
        <f>+Anagrafica!C25</f>
        <v>NIT2 - NIT 2.0 - Fondo perduto</v>
      </c>
      <c r="D12" s="2221"/>
      <c r="E12" s="2221"/>
      <c r="F12" s="2221"/>
      <c r="G12" s="2221"/>
      <c r="H12" s="2222"/>
    </row>
    <row r="14" spans="2:12" x14ac:dyDescent="0.35">
      <c r="B14" s="2074" t="str" cm="1">
        <f t="array" aca="1" ref="B14" ca="1">+IFERROR(IF(+COUNTIF(Quietanzasal3,"NO")&gt;0,"Vista la proposta effettuata dalla SU IMPR2 si autorizza l'erogazione del 3° SAL su fatture quietanzate e non","Vista la proposta effettuata dalla SU IMPR2 si autorizza l'erogazione del 3° SAL su fatture quietanzate"),"")</f>
        <v/>
      </c>
      <c r="C14" s="2074"/>
      <c r="D14" s="2074"/>
      <c r="E14" s="2074"/>
      <c r="F14" s="2074"/>
      <c r="G14" s="2074"/>
      <c r="H14" s="2074"/>
    </row>
    <row r="15" spans="2:12" ht="21" customHeight="1" thickBot="1" x14ac:dyDescent="0.4">
      <c r="B15" s="2075"/>
      <c r="C15" s="2075"/>
      <c r="D15" s="2075"/>
      <c r="E15" s="2075"/>
      <c r="F15" s="2075"/>
      <c r="G15" s="2075"/>
      <c r="H15" s="2075"/>
    </row>
    <row r="16" spans="2:12" x14ac:dyDescent="0.35">
      <c r="B16" s="904" t="s">
        <v>2178</v>
      </c>
      <c r="C16" s="2076">
        <f ca="1">+'3 SAL'!F149</f>
        <v>0</v>
      </c>
      <c r="D16" s="2076"/>
      <c r="E16" s="2076"/>
      <c r="F16" s="2076"/>
      <c r="G16" s="2076"/>
      <c r="H16" s="2077"/>
      <c r="L16" s="813"/>
    </row>
    <row r="17" spans="2:8" ht="15" thickBot="1" x14ac:dyDescent="0.4">
      <c r="B17" s="2078" t="e" cm="1">
        <f t="array" aca="1" ref="B17" ca="1">+NumToLet(C16)</f>
        <v>#NAME?</v>
      </c>
      <c r="C17" s="2079"/>
      <c r="D17" s="2079"/>
      <c r="E17" s="2079"/>
      <c r="F17" s="2079"/>
      <c r="G17" s="2079"/>
      <c r="H17" s="2080"/>
    </row>
    <row r="18" spans="2:8" x14ac:dyDescent="0.35">
      <c r="B18" s="904" t="s">
        <v>2266</v>
      </c>
      <c r="C18" s="2076">
        <f ca="1">+'3 SAL'!F146</f>
        <v>0</v>
      </c>
      <c r="D18" s="2076"/>
      <c r="E18" s="2076"/>
      <c r="F18" s="2076"/>
      <c r="G18" s="2076"/>
      <c r="H18" s="2077"/>
    </row>
    <row r="19" spans="2:8" ht="15" thickBot="1" x14ac:dyDescent="0.4">
      <c r="B19" s="2078" t="e" cm="1">
        <f t="array" aca="1" ref="B19" ca="1">+NumToLet(C18)</f>
        <v>#NAME?</v>
      </c>
      <c r="C19" s="2079"/>
      <c r="D19" s="2079"/>
      <c r="E19" s="2079"/>
      <c r="F19" s="2079"/>
      <c r="G19" s="2079"/>
      <c r="H19" s="2080"/>
    </row>
    <row r="20" spans="2:8" x14ac:dyDescent="0.35">
      <c r="B20" s="904" t="s">
        <v>2267</v>
      </c>
      <c r="C20" s="2076">
        <f ca="1">+'3 SAL'!F148</f>
        <v>0</v>
      </c>
      <c r="D20" s="2076"/>
      <c r="E20" s="2076"/>
      <c r="F20" s="2076"/>
      <c r="G20" s="2076"/>
      <c r="H20" s="2077"/>
    </row>
    <row r="21" spans="2:8" ht="15" thickBot="1" x14ac:dyDescent="0.4">
      <c r="B21" s="2078" t="e" cm="1">
        <f t="array" aca="1" ref="B21" ca="1">+NumToLet(C20)</f>
        <v>#NAME?</v>
      </c>
      <c r="C21" s="2079"/>
      <c r="D21" s="2079"/>
      <c r="E21" s="2079"/>
      <c r="F21" s="2079"/>
      <c r="G21" s="2079"/>
      <c r="H21" s="2080"/>
    </row>
    <row r="22" spans="2:8" ht="15" thickBot="1" x14ac:dyDescent="0.4">
      <c r="B22" s="907" t="s">
        <v>2179</v>
      </c>
    </row>
    <row r="23" spans="2:8" x14ac:dyDescent="0.35">
      <c r="B23" s="908" t="s">
        <v>1875</v>
      </c>
      <c r="C23" s="2081">
        <f>+Anagrafica!C6</f>
        <v>0</v>
      </c>
      <c r="D23" s="2081"/>
      <c r="E23" s="2081"/>
      <c r="F23" s="2081"/>
      <c r="G23" s="2081"/>
      <c r="H23" s="2082"/>
    </row>
    <row r="24" spans="2:8" x14ac:dyDescent="0.35">
      <c r="B24" s="909" t="s">
        <v>2180</v>
      </c>
      <c r="C24" s="2083">
        <f>+Anagrafica!C7</f>
        <v>0</v>
      </c>
      <c r="D24" s="2083"/>
      <c r="E24" s="2083"/>
      <c r="F24" s="2083"/>
      <c r="G24" s="2083"/>
      <c r="H24" s="2084"/>
    </row>
    <row r="25" spans="2:8" x14ac:dyDescent="0.35">
      <c r="B25" s="909" t="s">
        <v>628</v>
      </c>
      <c r="C25" s="2083" t="str">
        <f>+Anagrafica!C8</f>
        <v>ROMA</v>
      </c>
      <c r="D25" s="2083"/>
      <c r="E25" s="2083"/>
      <c r="F25" s="2083"/>
      <c r="G25" s="2083"/>
      <c r="H25" s="2084"/>
    </row>
    <row r="26" spans="2:8" x14ac:dyDescent="0.35">
      <c r="B26" s="909" t="s">
        <v>2181</v>
      </c>
      <c r="C26" s="2083">
        <f>+Anagrafica!H7</f>
        <v>0</v>
      </c>
      <c r="D26" s="2083"/>
      <c r="E26" s="2083"/>
      <c r="F26" s="2083"/>
      <c r="G26" s="2083"/>
      <c r="H26" s="2084"/>
    </row>
    <row r="27" spans="2:8" x14ac:dyDescent="0.35">
      <c r="B27" s="909" t="s">
        <v>630</v>
      </c>
      <c r="C27" s="2083" t="str">
        <f>+Anagrafica!H8</f>
        <v>RM</v>
      </c>
      <c r="D27" s="2083"/>
      <c r="E27" s="2083"/>
      <c r="F27" s="2083"/>
      <c r="G27" s="2083"/>
      <c r="H27" s="2084"/>
    </row>
    <row r="28" spans="2:8" x14ac:dyDescent="0.35">
      <c r="B28" s="909" t="s">
        <v>2182</v>
      </c>
      <c r="C28" s="2083">
        <f>+Anagrafica!C11</f>
        <v>0</v>
      </c>
      <c r="D28" s="2083"/>
      <c r="E28" s="2083"/>
      <c r="F28" s="2083"/>
      <c r="G28" s="2083"/>
      <c r="H28" s="2084"/>
    </row>
    <row r="29" spans="2:8" ht="15" thickBot="1" x14ac:dyDescent="0.4">
      <c r="B29" s="910" t="s">
        <v>2183</v>
      </c>
      <c r="C29" s="2085">
        <f>+Anagrafica!C10</f>
        <v>0</v>
      </c>
      <c r="D29" s="2085"/>
      <c r="E29" s="2085"/>
      <c r="F29" s="2085"/>
      <c r="G29" s="2085"/>
      <c r="H29" s="2086"/>
    </row>
    <row r="30" spans="2:8" x14ac:dyDescent="0.35">
      <c r="D30" s="911"/>
    </row>
    <row r="31" spans="2:8" ht="15" thickBot="1" x14ac:dyDescent="0.4">
      <c r="B31" s="907" t="s">
        <v>2184</v>
      </c>
      <c r="D31" s="911"/>
    </row>
    <row r="32" spans="2:8" x14ac:dyDescent="0.35">
      <c r="B32" s="908" t="s">
        <v>1875</v>
      </c>
      <c r="C32" s="2087" t="str">
        <f>+Anagrafica!C46</f>
        <v>BANCA SELLA</v>
      </c>
      <c r="D32" s="2087"/>
      <c r="E32" s="2087"/>
      <c r="F32" s="2087"/>
      <c r="G32" s="2087"/>
      <c r="H32" s="2088"/>
    </row>
    <row r="33" spans="1:8" x14ac:dyDescent="0.35">
      <c r="B33" s="909" t="s">
        <v>2097</v>
      </c>
      <c r="C33" s="2072" t="str">
        <f>+Anagrafica!C47</f>
        <v>AGENZIA 30</v>
      </c>
      <c r="D33" s="2072"/>
      <c r="E33" s="2072"/>
      <c r="F33" s="2072"/>
      <c r="G33" s="2072"/>
      <c r="H33" s="2073"/>
    </row>
    <row r="34" spans="1:8" ht="15" thickBot="1" x14ac:dyDescent="0.4">
      <c r="B34" s="912" t="s">
        <v>630</v>
      </c>
      <c r="C34" s="2089" t="str">
        <f>+Anagrafica!C48</f>
        <v>XXXXXXXXXXXXXX</v>
      </c>
      <c r="D34" s="2089"/>
      <c r="E34" s="2089"/>
      <c r="F34" s="2089"/>
      <c r="G34" s="2089"/>
      <c r="H34" s="2090"/>
    </row>
    <row r="35" spans="1:8" ht="15" thickBot="1" x14ac:dyDescent="0.4"/>
    <row r="36" spans="1:8" ht="15" thickBot="1" x14ac:dyDescent="0.4">
      <c r="A36" s="913"/>
      <c r="B36" s="913"/>
      <c r="C36" s="913"/>
      <c r="D36" s="914" t="s">
        <v>2088</v>
      </c>
      <c r="E36" s="915" t="s">
        <v>2089</v>
      </c>
      <c r="F36" s="915" t="s">
        <v>2090</v>
      </c>
      <c r="G36" s="915" t="s">
        <v>2091</v>
      </c>
      <c r="H36" s="916" t="s">
        <v>2092</v>
      </c>
    </row>
    <row r="37" spans="1:8" ht="15" thickBot="1" x14ac:dyDescent="0.4">
      <c r="A37" s="913"/>
      <c r="B37" s="914" t="s">
        <v>2093</v>
      </c>
      <c r="C37" s="917" t="s">
        <v>2094</v>
      </c>
      <c r="D37" s="918">
        <f>+Anagrafica!D50</f>
        <v>0</v>
      </c>
      <c r="E37" s="918">
        <f>+Anagrafica!E50</f>
        <v>0</v>
      </c>
      <c r="F37" s="918">
        <f>+Anagrafica!F50</f>
        <v>0</v>
      </c>
      <c r="G37" s="918">
        <f>+Anagrafica!G50</f>
        <v>0</v>
      </c>
      <c r="H37" s="919">
        <f>+Anagrafica!H50</f>
        <v>0</v>
      </c>
    </row>
    <row r="39" spans="1:8" ht="15" thickBot="1" x14ac:dyDescent="0.4">
      <c r="B39" s="612" t="str">
        <f ca="1">+IFERROR(+CONCATENATE(TEXT($C$18,"€ #.##0,00")," ", "da addebitare sul conto corrente della Fonte Finanziaria:"),"")</f>
        <v>€ 0,00 da addebitare sul conto corrente della Fonte Finanziaria:</v>
      </c>
    </row>
    <row r="40" spans="1:8" ht="15" customHeight="1" x14ac:dyDescent="0.35">
      <c r="B40" s="920" t="s">
        <v>2096</v>
      </c>
      <c r="C40" s="2091" t="str">
        <f ca="1">+IFERROR(+IF($C$18=0,"",VLOOKUP($C$11,'Fonti e cc'!$A$2:$I$5,2)),"")</f>
        <v/>
      </c>
      <c r="D40" s="2091"/>
      <c r="E40" s="2092"/>
    </row>
    <row r="41" spans="1:8" ht="15" thickBot="1" x14ac:dyDescent="0.4">
      <c r="B41" s="921" t="s">
        <v>2097</v>
      </c>
      <c r="C41" s="922" t="str">
        <f ca="1">+IFERROR(+IF($C$18=0,"",VLOOKUP($C$11,'Fonti e cc'!$A$2:$I$5,3)),"")</f>
        <v/>
      </c>
      <c r="D41" s="923" t="s">
        <v>2185</v>
      </c>
      <c r="E41" s="924" t="str">
        <f ca="1">+IFERROR(IF($C$18=0,"","RM"),"")</f>
        <v/>
      </c>
    </row>
    <row r="42" spans="1:8" ht="15" thickBot="1" x14ac:dyDescent="0.4"/>
    <row r="43" spans="1:8" ht="15" thickBot="1" x14ac:dyDescent="0.4">
      <c r="B43" s="913"/>
      <c r="C43" s="913"/>
      <c r="D43" s="914" t="s">
        <v>2088</v>
      </c>
      <c r="E43" s="915" t="s">
        <v>2089</v>
      </c>
      <c r="F43" s="915" t="s">
        <v>2090</v>
      </c>
      <c r="G43" s="915" t="s">
        <v>2091</v>
      </c>
      <c r="H43" s="916" t="s">
        <v>2092</v>
      </c>
    </row>
    <row r="44" spans="1:8" ht="15" thickBot="1" x14ac:dyDescent="0.4">
      <c r="B44" s="914" t="s">
        <v>2093</v>
      </c>
      <c r="C44" s="917" t="s">
        <v>2094</v>
      </c>
      <c r="D44" s="918" t="str">
        <f ca="1">+IFERROR(+IF($C$18=0,"",VLOOKUP($C$11,'Fonti e cc'!$A$2:$I$5,5)),"")</f>
        <v/>
      </c>
      <c r="E44" s="918" t="str">
        <f ca="1">+IFERROR(+IF($C$18=0,"",VLOOKUP($C$11,'Fonti e cc'!$A$2:$I$5,6)),"")</f>
        <v/>
      </c>
      <c r="F44" s="918" t="str">
        <f ca="1">+IFERROR(+IF($C$18=0,"",VLOOKUP($C$11,'Fonti e cc'!$A$2:$I$5,7)),"")</f>
        <v/>
      </c>
      <c r="G44" s="918" t="str">
        <f ca="1">+IFERROR(+IF($C$18=0,"",VLOOKUP($C$11,'Fonti e cc'!$A$2:$I$5,8)),"")</f>
        <v/>
      </c>
      <c r="H44" s="919" t="str">
        <f ca="1">+IFERROR(+IF($C$18=0,"",VLOOKUP($C$11,'Fonti e cc'!$A$2:$I$5,9)),"")</f>
        <v/>
      </c>
    </row>
    <row r="45" spans="1:8" x14ac:dyDescent="0.35">
      <c r="B45" s="1164"/>
      <c r="C45" s="1184"/>
      <c r="D45" s="1164"/>
      <c r="E45" s="1164"/>
      <c r="F45" s="1164"/>
      <c r="G45" s="1164"/>
      <c r="H45" s="1165"/>
    </row>
    <row r="46" spans="1:8" ht="15" thickBot="1" x14ac:dyDescent="0.4">
      <c r="B46" s="612" t="str">
        <f ca="1">+IFERROR(+CONCATENATE(TEXT($C$20,"€ #.##0,00")," ", "da addebitare sul conto corrente della Fonte Finanziaria:"),"")</f>
        <v>€ 0,00 da addebitare sul conto corrente della Fonte Finanziaria:</v>
      </c>
    </row>
    <row r="47" spans="1:8" ht="15" customHeight="1" x14ac:dyDescent="0.35">
      <c r="B47" s="920" t="s">
        <v>2096</v>
      </c>
      <c r="C47" s="2091" t="str">
        <f ca="1">+IFERROR(+IF($C$20=0,"",'Fonti e cc'!$B$6),"")</f>
        <v/>
      </c>
      <c r="D47" s="2091"/>
      <c r="E47" s="2092"/>
    </row>
    <row r="48" spans="1:8" ht="15" thickBot="1" x14ac:dyDescent="0.4">
      <c r="B48" s="921" t="s">
        <v>2097</v>
      </c>
      <c r="C48" s="922" t="str">
        <f ca="1">+IFERROR(+IF($C$20=0,"",'Fonti e cc'!$C$6),"")</f>
        <v/>
      </c>
      <c r="D48" s="923" t="s">
        <v>2185</v>
      </c>
      <c r="E48" s="924" t="str">
        <f ca="1">+IFERROR(IF($C$20=0,"","MI"),"")</f>
        <v/>
      </c>
    </row>
    <row r="49" spans="2:8" ht="15" thickBot="1" x14ac:dyDescent="0.4"/>
    <row r="50" spans="2:8" ht="15" thickBot="1" x14ac:dyDescent="0.4">
      <c r="B50" s="913"/>
      <c r="C50" s="913"/>
      <c r="D50" s="914" t="s">
        <v>2088</v>
      </c>
      <c r="E50" s="915" t="s">
        <v>2089</v>
      </c>
      <c r="F50" s="915" t="s">
        <v>2090</v>
      </c>
      <c r="G50" s="915" t="s">
        <v>2091</v>
      </c>
      <c r="H50" s="916" t="s">
        <v>2092</v>
      </c>
    </row>
    <row r="51" spans="2:8" ht="15" thickBot="1" x14ac:dyDescent="0.4">
      <c r="B51" s="914" t="s">
        <v>2093</v>
      </c>
      <c r="C51" s="917" t="s">
        <v>2094</v>
      </c>
      <c r="D51" s="918" t="str">
        <f ca="1">+IFERROR(+IF($C$20=0,"",'Fonti e cc'!$E$6),"")</f>
        <v/>
      </c>
      <c r="E51" s="918" t="str">
        <f ca="1">+IFERROR(+IF($C$20=0,"",'Fonti e cc'!$F$6),"")</f>
        <v/>
      </c>
      <c r="F51" s="918" t="str">
        <f ca="1">+IFERROR(+IF($C$20=0,"",'Fonti e cc'!$G$6),"")</f>
        <v/>
      </c>
      <c r="G51" s="918" t="str">
        <f ca="1">+IFERROR(+IF($C$20=0,"",'Fonti e cc'!$H$6),"")</f>
        <v/>
      </c>
      <c r="H51" s="919" t="str">
        <f ca="1">+IFERROR(+IF($C$20=0,"",'Fonti e cc'!$I$6),"")</f>
        <v/>
      </c>
    </row>
    <row r="52" spans="2:8" x14ac:dyDescent="0.35">
      <c r="B52" s="1164"/>
      <c r="C52" s="1184"/>
      <c r="D52" s="1164"/>
      <c r="E52" s="1164"/>
      <c r="F52" s="1164"/>
      <c r="G52" s="1164"/>
      <c r="H52" s="1165"/>
    </row>
    <row r="53" spans="2:8" ht="15" thickBot="1" x14ac:dyDescent="0.4"/>
    <row r="54" spans="2:8" ht="15" thickBot="1" x14ac:dyDescent="0.4">
      <c r="B54" s="2093" t="s">
        <v>2169</v>
      </c>
      <c r="C54" s="2094"/>
      <c r="D54" s="2094"/>
      <c r="E54" s="2094"/>
      <c r="F54" s="925" t="str">
        <f>+E2</f>
        <v>No</v>
      </c>
    </row>
    <row r="56" spans="2:8" x14ac:dyDescent="0.35">
      <c r="F56" s="2095" t="s">
        <v>2186</v>
      </c>
      <c r="G56" s="2095"/>
      <c r="H56" s="2095"/>
    </row>
    <row r="58" spans="2:8" x14ac:dyDescent="0.35">
      <c r="F58" s="2095" t="s">
        <v>2187</v>
      </c>
      <c r="G58" s="2095"/>
      <c r="H58" s="2095"/>
    </row>
    <row r="59" spans="2:8" x14ac:dyDescent="0.35">
      <c r="G59" s="902" t="s">
        <v>2186</v>
      </c>
    </row>
  </sheetData>
  <mergeCells count="29">
    <mergeCell ref="C12:H12"/>
    <mergeCell ref="B2:D2"/>
    <mergeCell ref="C7:H7"/>
    <mergeCell ref="C8:H8"/>
    <mergeCell ref="C9:H9"/>
    <mergeCell ref="C10:H10"/>
    <mergeCell ref="C11:H11"/>
    <mergeCell ref="C27:H27"/>
    <mergeCell ref="B14:H15"/>
    <mergeCell ref="C16:H16"/>
    <mergeCell ref="B17:H17"/>
    <mergeCell ref="C18:H18"/>
    <mergeCell ref="B19:H19"/>
    <mergeCell ref="C20:H20"/>
    <mergeCell ref="B21:H21"/>
    <mergeCell ref="C23:H23"/>
    <mergeCell ref="C24:H24"/>
    <mergeCell ref="C25:H25"/>
    <mergeCell ref="C26:H26"/>
    <mergeCell ref="B54:E54"/>
    <mergeCell ref="F56:H56"/>
    <mergeCell ref="F58:H58"/>
    <mergeCell ref="C28:H28"/>
    <mergeCell ref="C29:H29"/>
    <mergeCell ref="C32:H32"/>
    <mergeCell ref="C33:H33"/>
    <mergeCell ref="C34:H34"/>
    <mergeCell ref="C40:E40"/>
    <mergeCell ref="C47:E47"/>
  </mergeCells>
  <dataValidations count="8">
    <dataValidation type="list" allowBlank="1" showInputMessage="1" showErrorMessage="1" sqref="E2" xr:uid="{35F0406C-EAB6-413A-A44C-349637214445}">
      <formula1>"No,Si,"</formula1>
    </dataValidation>
    <dataValidation allowBlank="1" showInputMessage="1" showErrorMessage="1" promptTitle="Dato utile" prompt="Via e civico" sqref="C24:H24" xr:uid="{ACA2530B-F2B0-4088-B71C-BD1FB747FA94}"/>
    <dataValidation type="textLength" errorStyle="information" operator="equal" allowBlank="1" showInputMessage="1" showErrorMessage="1" errorTitle="Numero dati Sbagliati" error="Devono essere 5 cifre" sqref="F37:G37 F44:G45 F51:G52" xr:uid="{570909C8-D480-400F-8C1E-05304F68F36A}">
      <formula1>5</formula1>
    </dataValidation>
    <dataValidation type="textLength" errorStyle="information" operator="equal" allowBlank="1" showInputMessage="1" showErrorMessage="1" errorTitle="Numero dati Sbagliati" error="Deve essere 1 cifra" sqref="E37 E44:E45 E51:E52" xr:uid="{96D22F74-47F9-4413-858D-95933DAC8CE0}">
      <formula1>1</formula1>
    </dataValidation>
    <dataValidation type="textLength" errorStyle="information" operator="equal" allowBlank="1" showInputMessage="1" showErrorMessage="1" errorTitle="Numero dati Sbagliati" error="Devono essere 2 cifre" sqref="D37 D44:D45 D51:D52" xr:uid="{F6E0FB8C-FB5A-4F73-B135-E178049BB77C}">
      <formula1>2</formula1>
    </dataValidation>
    <dataValidation type="textLength" errorStyle="information" operator="equal" allowBlank="1" showInputMessage="1" showErrorMessage="1" errorTitle="Numero dati Sbagliati" error="Devono essere 12 cifre_x000a_" sqref="H37 H44:H45 H51:H52" xr:uid="{81BFE546-3690-456D-B2BC-D95958C27A32}">
      <formula1>12</formula1>
    </dataValidation>
    <dataValidation type="textLength" errorStyle="information" operator="equal" allowBlank="1" showInputMessage="1" showErrorMessage="1" errorTitle="Numero dati sbagliato" error="Devono essere 11 cifre" sqref="C28:H29" xr:uid="{63C6AFBA-D435-4C83-A561-BD1F06351C07}">
      <formula1>11</formula1>
    </dataValidation>
    <dataValidation type="textLength" errorStyle="information" operator="equal" allowBlank="1" showInputMessage="1" showErrorMessage="1" errorTitle="Numero dati sbagliato" error="Devono essere 5 cifre" sqref="C26:H26" xr:uid="{391B3D5F-9DA0-4189-BA85-EB9DFA886D88}">
      <formula1>5</formula1>
    </dataValidation>
  </dataValidations>
  <pageMargins left="0.7" right="0.7" top="0.75" bottom="0.75" header="0.3" footer="0.3"/>
  <pageSetup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9265" r:id="rId4" name="Button 1">
              <controlPr defaultSize="0" print="0" autoFill="0" autoPict="0" macro="[0]!Mandato_3_SAL">
                <anchor moveWithCells="1" sizeWithCells="1">
                  <from>
                    <xdr:col>9</xdr:col>
                    <xdr:colOff>209550</xdr:colOff>
                    <xdr:row>1</xdr:row>
                    <xdr:rowOff>107950</xdr:rowOff>
                  </from>
                  <to>
                    <xdr:col>11</xdr:col>
                    <xdr:colOff>552450</xdr:colOff>
                    <xdr:row>5</xdr:row>
                    <xdr:rowOff>69850</xdr:rowOff>
                  </to>
                </anchor>
              </controlPr>
            </control>
          </mc:Choice>
        </mc:AlternateContent>
      </controls>
    </mc:Choice>
  </mc:AlternateConten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40643-9C84-4285-ABA9-742C3E3B5E0C}">
  <sheetPr codeName="Foglio39"/>
  <dimension ref="B2:U13"/>
  <sheetViews>
    <sheetView workbookViewId="0">
      <selection activeCell="B146" sqref="B146:E146"/>
    </sheetView>
  </sheetViews>
  <sheetFormatPr defaultRowHeight="14.5" x14ac:dyDescent="0.35"/>
  <cols>
    <col min="2" max="2" width="27" customWidth="1"/>
    <col min="3" max="3" width="14.7265625" customWidth="1"/>
    <col min="4" max="4" width="14.7265625" bestFit="1" customWidth="1"/>
    <col min="5" max="5" width="15.453125" customWidth="1"/>
    <col min="6" max="6" width="14.7265625" customWidth="1"/>
    <col min="7" max="7" width="15.81640625" customWidth="1"/>
    <col min="8" max="9" width="14.453125" customWidth="1"/>
    <col min="10" max="10" width="39.453125" customWidth="1"/>
    <col min="11" max="11" width="12.54296875" customWidth="1"/>
    <col min="12" max="12" width="13.7265625" customWidth="1"/>
    <col min="13" max="13" width="14.1796875" customWidth="1"/>
    <col min="14" max="14" width="12.26953125" customWidth="1"/>
    <col min="15" max="15" width="19.453125" customWidth="1"/>
    <col min="18" max="18" width="21.26953125" customWidth="1"/>
    <col min="19" max="19" width="18" customWidth="1"/>
    <col min="20" max="20" width="25.26953125" customWidth="1"/>
    <col min="21" max="21" width="24.1796875" customWidth="1"/>
  </cols>
  <sheetData>
    <row r="2" spans="2:21" ht="15" thickBot="1" x14ac:dyDescent="0.4"/>
    <row r="3" spans="2:21" ht="15" thickBot="1" x14ac:dyDescent="0.4">
      <c r="B3" s="989"/>
      <c r="C3" s="2202" t="s">
        <v>2245</v>
      </c>
      <c r="D3" s="2203"/>
      <c r="E3" s="2204" t="s">
        <v>2246</v>
      </c>
      <c r="F3" s="2205"/>
      <c r="G3" s="2205"/>
      <c r="H3" s="2205"/>
      <c r="I3" s="2206"/>
      <c r="J3" s="989"/>
    </row>
    <row r="4" spans="2:21" ht="46.5" thickBot="1" x14ac:dyDescent="0.4">
      <c r="B4" s="1088" t="s">
        <v>2067</v>
      </c>
      <c r="C4" s="999" t="s">
        <v>2068</v>
      </c>
      <c r="D4" s="1081" t="s">
        <v>2069</v>
      </c>
      <c r="E4" s="1074" t="s">
        <v>2247</v>
      </c>
      <c r="F4" s="1000" t="s">
        <v>2226</v>
      </c>
      <c r="G4" s="1025" t="s">
        <v>2069</v>
      </c>
      <c r="H4" s="1000" t="s">
        <v>2248</v>
      </c>
      <c r="I4" s="1081" t="s">
        <v>2249</v>
      </c>
      <c r="J4" s="1081" t="s">
        <v>2250</v>
      </c>
      <c r="K4" s="1191" t="s">
        <v>2257</v>
      </c>
      <c r="L4" s="1000" t="s">
        <v>2258</v>
      </c>
      <c r="M4" s="1000" t="s">
        <v>2259</v>
      </c>
      <c r="N4" s="1000" t="s">
        <v>2260</v>
      </c>
      <c r="O4" s="1000" t="s">
        <v>2261</v>
      </c>
      <c r="R4" s="1194" t="s">
        <v>402</v>
      </c>
      <c r="S4" s="1194" t="s">
        <v>2069</v>
      </c>
      <c r="T4" s="1194" t="s">
        <v>2262</v>
      </c>
      <c r="U4" s="1194" t="s">
        <v>2263</v>
      </c>
    </row>
    <row r="5" spans="2:21" ht="29" x14ac:dyDescent="0.35">
      <c r="B5" s="1089" t="str">
        <f>+IF(Anagrafica!$G$2="Capo II","Opere murarie e assimilate","Acquisto immobile sede dell'attività")</f>
        <v>Acquisto immobile sede dell'attività</v>
      </c>
      <c r="C5" s="1101">
        <f ca="1">+Anagrafica!$I$30</f>
        <v>0</v>
      </c>
      <c r="D5" s="1102">
        <f ca="1">+Anagrafica!$J$30</f>
        <v>0</v>
      </c>
      <c r="E5" s="1098" t="e" cm="1">
        <f t="array" aca="1" ref="E5" ca="1">+SUMIF(Categoriesal2,B5,Imponibilesal2)</f>
        <v>#REF!</v>
      </c>
      <c r="F5" s="1009" t="e" cm="1">
        <f t="array" aca="1" ref="F5" ca="1">+SUMIF(Categoriesal2,B5,Realizzatosal2)</f>
        <v>#REF!</v>
      </c>
      <c r="G5" s="1009" t="e" cm="1">
        <f t="array" aca="1" ref="G5" ca="1">+SUMIF(Categoriesal2,B5,Ammessosal2)</f>
        <v>#REF!</v>
      </c>
      <c r="H5" s="1009" t="str">
        <f ca="1">IFERROR(+G5*Anagrafica!$F$38,"")</f>
        <v/>
      </c>
      <c r="I5" s="1015">
        <v>0</v>
      </c>
      <c r="J5" s="1107" t="e">
        <f ca="1">+IF(C5-F5-'1 SAL'!$F$110&lt;0,0,C5-F5-'1 SAL'!$F$110)</f>
        <v>#REF!</v>
      </c>
      <c r="K5" s="1192">
        <f ca="1">SUMIF(R:R,B5,U:U)</f>
        <v>0</v>
      </c>
      <c r="L5" s="1214">
        <v>0</v>
      </c>
      <c r="M5" s="264" t="e">
        <f ca="1">+K5*Anagrafica!F38</f>
        <v>#DIV/0!</v>
      </c>
      <c r="N5" s="264">
        <f>+I5-L5</f>
        <v>0</v>
      </c>
      <c r="O5" s="264" t="e">
        <f ca="1">+H5-M5</f>
        <v>#VALUE!</v>
      </c>
      <c r="R5" t="e" cm="1">
        <f t="array" aca="1" ref="R5" ca="1">+Categoriesal2</f>
        <v>#REF!</v>
      </c>
      <c r="S5" t="e" cm="1">
        <f t="array" aca="1" ref="S5" ca="1">+Ammessosal2</f>
        <v>#REF!</v>
      </c>
      <c r="T5" t="e" cm="1">
        <f t="array" aca="1" ref="T5" ca="1">+Quietanzasal2</f>
        <v>#REF!</v>
      </c>
      <c r="U5" t="e" cm="1">
        <f t="array" aca="1" ref="U5" ca="1">IF(+Quietanzasal2="si",1,0)*Ammessosal2</f>
        <v>#REF!</v>
      </c>
    </row>
    <row r="6" spans="2:21" x14ac:dyDescent="0.35">
      <c r="B6" s="1090" t="str">
        <f>+IF(Anagrafica!$G$2="Capo II","Macchinari, impianti ed attrezzature","Opere murarie e assimilate")</f>
        <v>Opere murarie e assimilate</v>
      </c>
      <c r="C6" s="1103">
        <f ca="1">+Anagrafica!$I$31</f>
        <v>0</v>
      </c>
      <c r="D6" s="1016">
        <f>+Anagrafica!$J$31</f>
        <v>0</v>
      </c>
      <c r="E6" s="1098" t="e" cm="1">
        <f t="array" aca="1" ref="E6" ca="1">+SUMIF(Categoriesal2,B6,Imponibilesal2)</f>
        <v>#REF!</v>
      </c>
      <c r="F6" s="1010" t="e" cm="1">
        <f t="array" aca="1" ref="F6" ca="1">+SUMIF(Categoriesal2,B6,Realizzatosal2)</f>
        <v>#REF!</v>
      </c>
      <c r="G6" s="1010" t="e" cm="1">
        <f t="array" aca="1" ref="G6" ca="1">+SUMIF(Categoriesal2,B6,Ammessosal2)</f>
        <v>#REF!</v>
      </c>
      <c r="H6" s="1010" t="e">
        <f ca="1">+IF(Anagrafica!$G$2="Capo II",(G6*Anagrafica!$F$38-I6),G6*Anagrafica!$F$38)</f>
        <v>#REF!</v>
      </c>
      <c r="I6" s="1016">
        <f ca="1">+IFERROR((G6/'Calcolo contributo CAPO II'!$C$23)*Anagrafica!$C$37,0)</f>
        <v>0</v>
      </c>
      <c r="J6" s="1107" t="e">
        <f ca="1">+IF(C6-F6-'1 SAL'!$F$111&lt;0,0,C6-F6-'1 SAL'!$F$111)</f>
        <v>#REF!</v>
      </c>
      <c r="K6" s="1192">
        <f ca="1">SUMIF(R:R,B6,U:U)</f>
        <v>0</v>
      </c>
      <c r="L6" s="779">
        <f ca="1">+IFERROR((K6/'Calcolo contributo CAPO II'!$C$23)*Anagrafica!$C$37,0)</f>
        <v>0</v>
      </c>
      <c r="M6" s="779" t="e">
        <f ca="1">+IF(Anagrafica!$G$2="Capo II",(K6*Anagrafica!$F$38-L6),K6*Anagrafica!$F$38)</f>
        <v>#DIV/0!</v>
      </c>
      <c r="N6" s="264">
        <f ca="1">+I6-L6</f>
        <v>0</v>
      </c>
      <c r="O6" s="264" t="e">
        <f ca="1">+H6-M6</f>
        <v>#REF!</v>
      </c>
    </row>
    <row r="7" spans="2:21" ht="29" x14ac:dyDescent="0.35">
      <c r="B7" s="1091" t="str">
        <f>+IF(Anagrafica!$G$2="Capo II","Programmi informatici e servizi per le tecnologie dell’informazione e della comunicazione","Macchinari, impianti ed attrezzature")</f>
        <v>Macchinari, impianti ed attrezzature</v>
      </c>
      <c r="C7" s="1103">
        <f ca="1">+Anagrafica!$I$32</f>
        <v>10000</v>
      </c>
      <c r="D7" s="1016">
        <f>+Anagrafica!$J$32</f>
        <v>0</v>
      </c>
      <c r="E7" s="1098" t="e" cm="1">
        <f t="array" aca="1" ref="E7" ca="1">+SUMIF(Categoriesal2,B7,Imponibilesal2)</f>
        <v>#REF!</v>
      </c>
      <c r="F7" s="1010" t="e" cm="1">
        <f t="array" aca="1" ref="F7" ca="1">+SUMIF(Categoriesal2,B7,Realizzatosal2)</f>
        <v>#REF!</v>
      </c>
      <c r="G7" s="1010" t="e" cm="1">
        <f t="array" aca="1" ref="G7" ca="1">+SUMIF(Categoriesal2,B7,Ammessosal2)</f>
        <v>#REF!</v>
      </c>
      <c r="H7" s="1010" t="e">
        <f ca="1">+(G7*Anagrafica!$F$38-I7)</f>
        <v>#REF!</v>
      </c>
      <c r="I7" s="1016" t="e">
        <f ca="1">IF(Anagrafica!$G$2="Capo II",(G7/'Calcolo contributo CAPO II'!$C$23)*Anagrafica!$C$37,G7/(GBER!$C$11+GBER!$C$13)*Anagrafica!$C$37)</f>
        <v>#REF!</v>
      </c>
      <c r="J7" s="1107" t="e">
        <f ca="1">+IF(C7-F7-'1 SAL'!$F$112&lt;0,0,C7-F7-'1 SAL'!$F$112)</f>
        <v>#REF!</v>
      </c>
      <c r="K7" s="1192">
        <f ca="1">SUMIF(R:R,B7,U:U)</f>
        <v>0</v>
      </c>
      <c r="L7" s="264" t="e">
        <f ca="1">IF(Anagrafica!$G$2="Capo II",(K7/'Calcolo contributo CAPO II'!$C$23)*Anagrafica!$C$37,K7/(GBER!$C$11+GBER!$C$13)*Anagrafica!$C$37)</f>
        <v>#DIV/0!</v>
      </c>
      <c r="M7" s="264" t="e">
        <f ca="1">+(K7*Anagrafica!$F$38-L7)</f>
        <v>#DIV/0!</v>
      </c>
      <c r="N7" s="264" t="e">
        <f ca="1">+I7-L7</f>
        <v>#REF!</v>
      </c>
      <c r="O7" s="264" t="e">
        <f ca="1">+H7-M7</f>
        <v>#REF!</v>
      </c>
    </row>
    <row r="8" spans="2:21" ht="29" x14ac:dyDescent="0.35">
      <c r="B8" s="1091" t="str">
        <f>+IF(Anagrafica!$G$2="Capo II","Acquisto di brevetti o acquisizione di relative licenze d’uso","Programmi informatici, brevetti, licenze e marchi")</f>
        <v>Programmi informatici, brevetti, licenze e marchi</v>
      </c>
      <c r="C8" s="1103">
        <f ca="1">+Anagrafica!$I$33</f>
        <v>0</v>
      </c>
      <c r="D8" s="1016">
        <f ca="1">+Anagrafica!$J$33</f>
        <v>0</v>
      </c>
      <c r="E8" s="1098" t="e" cm="1">
        <f t="array" aca="1" ref="E8" ca="1">+SUMIF(Categoriesal2,B8,Imponibilesal2)</f>
        <v>#REF!</v>
      </c>
      <c r="F8" s="1010" t="e" cm="1">
        <f t="array" aca="1" ref="F8" ca="1">+SUMIF(Categoriesal2,B8,Realizzatosal2)</f>
        <v>#REF!</v>
      </c>
      <c r="G8" s="1010" t="e" cm="1">
        <f t="array" aca="1" ref="G8" ca="1">+SUMIF(Categoriesal2,B8,Ammessosal2)</f>
        <v>#REF!</v>
      </c>
      <c r="H8" s="1010" t="e">
        <f ca="1">+G8*Anagrafica!$F$38-I8</f>
        <v>#REF!</v>
      </c>
      <c r="I8" s="1016" t="e">
        <f ca="1">IF(Anagrafica!$G$2="Capo II",(G8/'Calcolo contributo CAPO II'!$C$23)*Anagrafica!$C$37,G8/(GBER!$C$11+GBER!$C$13)*Anagrafica!$C$37)</f>
        <v>#REF!</v>
      </c>
      <c r="J8" s="1107" t="e">
        <f ca="1">+IF(C8-F8-'1 SAL'!$F$113&lt;0,0,C8-F8-'1 SAL'!$F$113)</f>
        <v>#REF!</v>
      </c>
      <c r="K8" s="1192">
        <f t="shared" ref="K8" ca="1" si="0">SUMIF(R:R,B8,U:U)</f>
        <v>0</v>
      </c>
      <c r="L8" s="264" t="e">
        <f ca="1">IF(Anagrafica!$G$2="Capo II",(K8/'Calcolo contributo CAPO II'!$C$23)*Anagrafica!$C$37,K8/(GBER!$C$11+GBER!$C$13)*Anagrafica!$C$37)</f>
        <v>#DIV/0!</v>
      </c>
      <c r="M8" s="264" t="e">
        <f ca="1">+(K8*Anagrafica!$F$38-L8)</f>
        <v>#DIV/0!</v>
      </c>
      <c r="N8" s="264" t="e">
        <f t="shared" ref="N8" ca="1" si="1">+I8-L8</f>
        <v>#REF!</v>
      </c>
      <c r="O8" s="264" t="e">
        <f ca="1">+H8-M8</f>
        <v>#REF!</v>
      </c>
    </row>
    <row r="9" spans="2:21" ht="29" x14ac:dyDescent="0.35">
      <c r="B9" s="1091" t="str">
        <f>+IF(Anagrafica!$G$2="Capo II","Consulenze specialistiche","TOTALE PROGRAMMA DI SPESA")</f>
        <v>TOTALE PROGRAMMA DI SPESA</v>
      </c>
      <c r="C9" s="1103">
        <f ca="1">+Anagrafica!$I$34</f>
        <v>10000</v>
      </c>
      <c r="D9" s="1016">
        <f ca="1">+Anagrafica!$J$34</f>
        <v>0</v>
      </c>
      <c r="E9" s="1098" t="e" cm="1">
        <f t="array" aca="1" ref="E9" ca="1">IF(Anagrafica!$G$2="Capo II",+SUMIF(Categoriesal2,B9,Imponibilesal2),SUM(E5:E8))</f>
        <v>#REF!</v>
      </c>
      <c r="F9" s="1010" t="e" cm="1">
        <f t="array" aca="1" ref="F9" ca="1">+IF(Anagrafica!$G$2="Capo II",+SUMIF(Categoriesal2,B9,Realizzatosal2),SUM(F5:F8))</f>
        <v>#REF!</v>
      </c>
      <c r="G9" s="1010" t="e" cm="1">
        <f t="array" aca="1" ref="G9" ca="1">IF(Anagrafica!$G$2="Capo II",+SUMIF(Categoriesal2,B9,Ammessosal2),SUM(G5:G8))</f>
        <v>#REF!</v>
      </c>
      <c r="H9" s="1010">
        <f ca="1">IFERROR(IF(Anagrafica!$G$2="Capo II",+G9*Anagrafica!$F$38,SUM(H5:H8)),0)</f>
        <v>0</v>
      </c>
      <c r="I9" s="1016">
        <f ca="1">IFERROR(IF(Anagrafica!$G$2="Capo II",0,SUM(I5:I8)),0)</f>
        <v>0</v>
      </c>
      <c r="J9" s="1107" t="e">
        <f ca="1">+IF(C9-F9-'1 SAL'!$F$114&lt;0,0,C9-F9-'1 SAL'!$F$114)</f>
        <v>#REF!</v>
      </c>
      <c r="K9" s="1192">
        <f ca="1">IF(Anagrafica!$G$2="Capo II",SUMIF(R:R,B9,U:U),SUM(K5:K8))</f>
        <v>0</v>
      </c>
      <c r="L9" s="264">
        <f ca="1">IFERROR(IF(Anagrafica!$G$2="Capo II",0,SUM(L5:L8)),0)</f>
        <v>0</v>
      </c>
      <c r="M9" s="264">
        <f ca="1">IFERROR(IF(Anagrafica!$G$2="Capo II",+K9*Anagrafica!$F$38,SUM(M5:M8)),0)</f>
        <v>0</v>
      </c>
      <c r="N9" s="264">
        <f ca="1">IFERROR(IF(Anagrafica!$G$2="Capo II",+I9-L9,SUM(N5:N8)),0)</f>
        <v>0</v>
      </c>
      <c r="O9" s="264">
        <f ca="1">+IFERROR(IF(Anagrafica!$G$2="Capo II",+H9-M9,SUM(O5:O8)),0)</f>
        <v>0</v>
      </c>
    </row>
    <row r="10" spans="2:21" ht="15" thickBot="1" x14ac:dyDescent="0.4">
      <c r="B10" s="1092" t="str">
        <f>+IF(Anagrafica!$G$2="Capo II","Oneri notarili connessi alla stipula del contratto di finanziamento ed oneri connessi alla costituzione della società","")</f>
        <v/>
      </c>
      <c r="C10" s="1104" t="str">
        <f>+Anagrafica!$I$35</f>
        <v/>
      </c>
      <c r="D10" s="1027" t="str">
        <f>+Anagrafica!$J$35</f>
        <v/>
      </c>
      <c r="E10" s="1098" t="e" cm="1">
        <f t="array" aca="1" ref="E10" ca="1">+SUMIF(Categoriesal2,B10,Imponibilesal2)</f>
        <v>#REF!</v>
      </c>
      <c r="F10" s="1011" t="e" cm="1">
        <f t="array" aca="1" ref="F10" ca="1">+SUMIF(Categoriesal2,B10,Realizzatosal2)</f>
        <v>#REF!</v>
      </c>
      <c r="G10" s="1011" t="e" cm="1">
        <f t="array" aca="1" ref="G10" ca="1">+SUMIF(Categoriesal2,B10,Ammessosal2)</f>
        <v>#REF!</v>
      </c>
      <c r="H10" s="1009" t="str">
        <f ca="1">IFERROR(+G10*Anagrafica!$F$38,"")</f>
        <v/>
      </c>
      <c r="I10" s="1027">
        <v>0</v>
      </c>
      <c r="J10" s="1082" t="e">
        <f ca="1">+IF(C10-F10-'1 SAL'!$F$115&lt;0,0,C10-F10-'1 SAL'!$F$115)</f>
        <v>#VALUE!</v>
      </c>
      <c r="K10" s="1192">
        <f ca="1">SUMIF(R:R,B10,U:U)</f>
        <v>0</v>
      </c>
      <c r="L10" s="1206">
        <v>0</v>
      </c>
      <c r="M10" s="264" t="e">
        <f ca="1">K10*Anagrafica!F38</f>
        <v>#DIV/0!</v>
      </c>
      <c r="N10">
        <v>0</v>
      </c>
      <c r="O10">
        <v>0</v>
      </c>
    </row>
    <row r="11" spans="2:21" ht="15" thickBot="1" x14ac:dyDescent="0.4">
      <c r="B11" s="1093" t="str">
        <f>+IF(Anagrafica!$G$2="Capo II","TOTALE INVESTIMENTO","")</f>
        <v/>
      </c>
      <c r="C11" s="1105" t="str">
        <f>+Anagrafica!$I$36</f>
        <v/>
      </c>
      <c r="D11" s="1106" t="str">
        <f>+Anagrafica!$J$36</f>
        <v/>
      </c>
      <c r="E11" s="1099" t="e">
        <f t="shared" ref="E11:G11" ca="1" si="2">+SUM(E5:E10)</f>
        <v>#REF!</v>
      </c>
      <c r="F11" s="1013" t="e">
        <f t="shared" ca="1" si="2"/>
        <v>#REF!</v>
      </c>
      <c r="G11" s="1013" t="e">
        <f t="shared" ca="1" si="2"/>
        <v>#REF!</v>
      </c>
      <c r="H11" s="1013" t="e">
        <f ca="1">+SUM(H5:H10)</f>
        <v>#REF!</v>
      </c>
      <c r="I11" s="1017" t="e">
        <f ca="1">+SUM(I5:I10)</f>
        <v>#REF!</v>
      </c>
      <c r="J11" s="1108" t="e">
        <f ca="1">+SUM(J5:J10)</f>
        <v>#REF!</v>
      </c>
      <c r="K11" s="1108">
        <f t="shared" ref="K11:O11" ca="1" si="3">+SUM(K5:K10)</f>
        <v>0</v>
      </c>
      <c r="L11" s="1108" t="e">
        <f t="shared" ca="1" si="3"/>
        <v>#DIV/0!</v>
      </c>
      <c r="M11" s="1108" t="e">
        <f ca="1">+SUM(M5:M10)</f>
        <v>#DIV/0!</v>
      </c>
      <c r="N11" s="1195" t="e">
        <f ca="1">+SUM(N5:N10)</f>
        <v>#REF!</v>
      </c>
      <c r="O11" s="1195" t="e">
        <f t="shared" ca="1" si="3"/>
        <v>#VALUE!</v>
      </c>
    </row>
    <row r="12" spans="2:21" ht="15" thickBot="1" x14ac:dyDescent="0.4">
      <c r="B12" s="1092" t="str">
        <f>+IF(Anagrafica!$G$2="Capo II","Capitale circolante","")</f>
        <v/>
      </c>
      <c r="C12" s="1104">
        <f>+Anagrafica!$C$31</f>
        <v>0</v>
      </c>
      <c r="D12" s="1027">
        <f>+Anagrafica!$C$31</f>
        <v>0</v>
      </c>
      <c r="E12" s="1012">
        <f>+$E$85</f>
        <v>0</v>
      </c>
      <c r="F12" s="1012">
        <f>+$E$86</f>
        <v>0</v>
      </c>
      <c r="G12" s="1012">
        <f>+$E$86</f>
        <v>0</v>
      </c>
      <c r="H12" s="1009">
        <f ca="1">IFERROR(+#REF!*Anagrafica!$F$38,0)</f>
        <v>0</v>
      </c>
      <c r="I12" s="1015">
        <v>0</v>
      </c>
      <c r="J12" s="1109">
        <f>+IF(C12-F12-'1 SAL'!$F$117&lt;0,0,C12-F12-'1 SAL'!$F$117)</f>
        <v>0</v>
      </c>
    </row>
    <row r="13" spans="2:21" ht="30.75" customHeight="1" thickBot="1" x14ac:dyDescent="0.4">
      <c r="B13" s="1093" t="str">
        <f>+IF(Anagrafica!$G$2="Capo II","TOTALE PROGRAMMA DI SPESA","")</f>
        <v/>
      </c>
      <c r="C13" s="1013" t="str">
        <f>+Anagrafica!$I$38</f>
        <v/>
      </c>
      <c r="D13" s="1013" t="str">
        <f>+Anagrafica!$J$38</f>
        <v/>
      </c>
      <c r="E13" s="1013" t="e">
        <f ca="1">+E11+E12</f>
        <v>#REF!</v>
      </c>
      <c r="F13" s="1013" t="e">
        <f ca="1">+F11+F12</f>
        <v>#REF!</v>
      </c>
      <c r="G13" s="1013" t="e">
        <f ca="1">+G11+G12</f>
        <v>#REF!</v>
      </c>
      <c r="H13" s="1013" t="e">
        <f ca="1">+H12+H11</f>
        <v>#REF!</v>
      </c>
      <c r="I13" s="1017" t="e">
        <f ca="1">+I11</f>
        <v>#REF!</v>
      </c>
      <c r="J13" s="1108" t="e">
        <f ca="1">+J12+J11</f>
        <v>#REF!</v>
      </c>
    </row>
  </sheetData>
  <mergeCells count="2">
    <mergeCell ref="C3:D3"/>
    <mergeCell ref="E3:I3"/>
  </mergeCell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8" id="{2ED5D185-C1A2-4679-B0C9-89D94894D88C}">
            <xm:f>+IF(Anagrafica!$G$2="Capo III",1,0)</xm:f>
            <x14:dxf>
              <font>
                <b/>
                <i val="0"/>
              </font>
              <fill>
                <patternFill>
                  <bgColor theme="8" tint="0.59996337778862885"/>
                </patternFill>
              </fill>
              <border>
                <top style="thin">
                  <color auto="1"/>
                </top>
                <bottom style="thin">
                  <color auto="1"/>
                </bottom>
              </border>
            </x14:dxf>
          </x14:cfRule>
          <xm:sqref>B9</xm:sqref>
        </x14:conditionalFormatting>
        <x14:conditionalFormatting xmlns:xm="http://schemas.microsoft.com/office/excel/2006/main">
          <x14:cfRule type="expression" priority="7" id="{B64ACA5F-2E83-4780-9DD2-0D93493C8301}">
            <xm:f>+IF(Anagrafica!$G$2="Capo III",1,0)</xm:f>
            <x14:dxf>
              <fill>
                <patternFill>
                  <bgColor theme="8" tint="0.59996337778862885"/>
                </patternFill>
              </fill>
            </x14:dxf>
          </x14:cfRule>
          <xm:sqref>C9:I9</xm:sqref>
        </x14:conditionalFormatting>
        <x14:conditionalFormatting xmlns:xm="http://schemas.microsoft.com/office/excel/2006/main">
          <x14:cfRule type="expression" priority="6" id="{6BB40DEE-F652-4992-840D-63564D5904D0}">
            <xm:f>+IF(Anagrafica!$G$2="Capo III",1,0)</xm:f>
            <x14:dxf>
              <font>
                <color theme="0"/>
              </font>
              <fill>
                <patternFill>
                  <bgColor theme="0"/>
                </patternFill>
              </fill>
              <border>
                <left/>
                <right/>
                <top/>
                <bottom/>
                <vertical/>
                <horizontal/>
              </border>
            </x14:dxf>
          </x14:cfRule>
          <xm:sqref>B10:I13</xm:sqref>
        </x14:conditionalFormatting>
        <x14:conditionalFormatting xmlns:xm="http://schemas.microsoft.com/office/excel/2006/main">
          <x14:cfRule type="expression" priority="5" id="{610B713C-4887-437E-AA62-93209E9E6105}">
            <xm:f>+IF(Anagrafica!$G$2="Capo III",1,0)</xm:f>
            <x14:dxf>
              <border>
                <left/>
                <right/>
                <top style="thin">
                  <color auto="1"/>
                </top>
                <bottom/>
                <vertical/>
                <horizontal/>
              </border>
            </x14:dxf>
          </x14:cfRule>
          <xm:sqref>B10:I10</xm:sqref>
        </x14:conditionalFormatting>
        <x14:conditionalFormatting xmlns:xm="http://schemas.microsoft.com/office/excel/2006/main">
          <x14:cfRule type="expression" priority="4" id="{30B00DB7-EE26-404C-A64E-79D09A062A2C}">
            <xm:f>+IF(Anagrafica!$G$2="Capo III",1,0)</xm:f>
            <x14:dxf>
              <font>
                <color theme="0"/>
              </font>
              <fill>
                <patternFill>
                  <fgColor theme="0"/>
                  <bgColor theme="0"/>
                </patternFill>
              </fill>
              <border>
                <left/>
                <right/>
                <top/>
                <bottom/>
                <vertical/>
                <horizontal/>
              </border>
            </x14:dxf>
          </x14:cfRule>
          <xm:sqref>K11:O11</xm:sqref>
        </x14:conditionalFormatting>
        <x14:conditionalFormatting xmlns:xm="http://schemas.microsoft.com/office/excel/2006/main">
          <x14:cfRule type="expression" priority="3" id="{D705B7CE-AF90-4FEA-B18C-3A5905EB225B}">
            <xm:f>+IF(Anagrafica!$G$2="Capo III",1,0)</xm:f>
            <x14:dxf>
              <fill>
                <patternFill>
                  <bgColor theme="8" tint="0.59996337778862885"/>
                </patternFill>
              </fill>
            </x14:dxf>
          </x14:cfRule>
          <xm:sqref>J9</xm:sqref>
        </x14:conditionalFormatting>
        <x14:conditionalFormatting xmlns:xm="http://schemas.microsoft.com/office/excel/2006/main">
          <x14:cfRule type="expression" priority="2" id="{EFFC63A2-1BC0-4BAD-89E2-245329AE4A9C}">
            <xm:f>+IF(Anagrafica!$G$2="Capo III",1,0)</xm:f>
            <x14:dxf>
              <font>
                <color theme="0"/>
              </font>
              <fill>
                <patternFill>
                  <bgColor theme="0"/>
                </patternFill>
              </fill>
              <border>
                <left/>
                <right/>
                <top/>
                <bottom/>
                <vertical/>
                <horizontal/>
              </border>
            </x14:dxf>
          </x14:cfRule>
          <xm:sqref>J10:J13</xm:sqref>
        </x14:conditionalFormatting>
        <x14:conditionalFormatting xmlns:xm="http://schemas.microsoft.com/office/excel/2006/main">
          <x14:cfRule type="expression" priority="1" id="{E2DA1F9C-1703-4D09-8E9B-AE834865BED6}">
            <xm:f>+IF(Anagrafica!$G$2="Capo III",1,0)</xm:f>
            <x14:dxf>
              <border>
                <left/>
                <right/>
                <top style="thin">
                  <color auto="1"/>
                </top>
                <bottom/>
                <vertical/>
                <horizontal/>
              </border>
            </x14:dxf>
          </x14:cfRule>
          <xm:sqref>J10</xm:sqref>
        </x14:conditionalFormatting>
      </x14:conditionalFormatting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C510F6-FE80-49EE-B597-2C6300B9718C}">
  <sheetPr codeName="Foglio40"/>
  <dimension ref="A1:BB240"/>
  <sheetViews>
    <sheetView workbookViewId="0">
      <selection activeCell="E11" sqref="E11"/>
    </sheetView>
  </sheetViews>
  <sheetFormatPr defaultRowHeight="14.5" x14ac:dyDescent="0.35"/>
  <cols>
    <col min="1" max="1" width="16.81640625" customWidth="1"/>
    <col min="2" max="2" width="19.81640625" customWidth="1"/>
    <col min="3" max="3" width="21" customWidth="1"/>
    <col min="4" max="4" width="19.1796875" customWidth="1"/>
    <col min="5" max="5" width="21.453125" customWidth="1"/>
    <col min="6" max="6" width="18.26953125" customWidth="1"/>
    <col min="7" max="7" width="28.7265625" customWidth="1"/>
    <col min="8" max="8" width="69.54296875" style="1196" customWidth="1"/>
    <col min="9" max="9" width="14.453125" customWidth="1"/>
    <col min="10" max="10" width="20.81640625" customWidth="1"/>
    <col min="14" max="14" width="18.54296875" bestFit="1" customWidth="1"/>
    <col min="17" max="17" width="16.81640625" customWidth="1"/>
    <col min="18" max="18" width="19.81640625" customWidth="1"/>
    <col min="19" max="19" width="21" customWidth="1"/>
    <col min="20" max="20" width="19.1796875" customWidth="1"/>
    <col min="21" max="21" width="21.453125" customWidth="1"/>
    <col min="22" max="22" width="18.26953125" customWidth="1"/>
    <col min="23" max="23" width="28.7265625" customWidth="1"/>
    <col min="24" max="24" width="69.54296875" style="1196" customWidth="1"/>
    <col min="25" max="25" width="14.453125" customWidth="1"/>
    <col min="26" max="26" width="20.81640625" customWidth="1"/>
    <col min="29" max="29" width="16.26953125" customWidth="1"/>
    <col min="30" max="30" width="18.54296875" bestFit="1" customWidth="1"/>
    <col min="34" max="34" width="10.54296875" customWidth="1"/>
    <col min="35" max="35" width="13.1796875" bestFit="1" customWidth="1"/>
    <col min="36" max="36" width="21.81640625" bestFit="1" customWidth="1"/>
    <col min="37" max="37" width="15.1796875" customWidth="1"/>
    <col min="38" max="38" width="10.1796875" bestFit="1" customWidth="1"/>
    <col min="39" max="39" width="40.81640625" customWidth="1"/>
    <col min="40" max="40" width="13.453125" bestFit="1" customWidth="1"/>
    <col min="41" max="48" width="13.453125" customWidth="1"/>
    <col min="49" max="49" width="12" customWidth="1"/>
    <col min="50" max="50" width="30.7265625" customWidth="1"/>
    <col min="51" max="51" width="21.1796875" bestFit="1" customWidth="1"/>
    <col min="52" max="52" width="32.453125" customWidth="1"/>
    <col min="53" max="53" width="22.54296875" customWidth="1"/>
    <col min="54" max="54" width="18.81640625" customWidth="1"/>
  </cols>
  <sheetData>
    <row r="1" spans="1:54" ht="15" thickBot="1" x14ac:dyDescent="0.4">
      <c r="H1" s="2238" t="s">
        <v>2279</v>
      </c>
      <c r="I1" s="2239"/>
      <c r="J1" s="2239"/>
      <c r="K1" s="2239"/>
      <c r="L1" s="2239"/>
      <c r="M1" s="2239"/>
      <c r="N1" s="2239"/>
      <c r="O1" s="2240"/>
      <c r="P1" s="572"/>
      <c r="X1" s="2238" t="s">
        <v>2299</v>
      </c>
      <c r="Y1" s="2239"/>
      <c r="Z1" s="2239"/>
      <c r="AA1" s="2239"/>
      <c r="AB1" s="2239"/>
      <c r="AC1" s="2239"/>
      <c r="AD1" s="2239"/>
      <c r="AE1" s="2240"/>
      <c r="AG1" s="2238" t="s">
        <v>2300</v>
      </c>
      <c r="AH1" s="2239"/>
      <c r="AI1" s="2240"/>
    </row>
    <row r="2" spans="1:54" x14ac:dyDescent="0.35">
      <c r="A2" t="str">
        <f>+AX4</f>
        <v>Acquisto immobile sede dell'attività</v>
      </c>
      <c r="B2" t="str">
        <f>+AX5</f>
        <v>Opere murarie e assimilate</v>
      </c>
      <c r="C2" t="str">
        <f>+AX6</f>
        <v>Macchinari, impianti ed attrezzature</v>
      </c>
      <c r="D2" t="str">
        <f>+AX7</f>
        <v>Programmi informatici, brevetti, licenze e marchi</v>
      </c>
      <c r="E2" t="str">
        <f>+AX8</f>
        <v>TOTALE PROGRAMMA DI SPESA</v>
      </c>
      <c r="F2" t="str">
        <f>+AX9</f>
        <v/>
      </c>
      <c r="H2" s="1196" t="s">
        <v>2281</v>
      </c>
      <c r="I2" t="s">
        <v>2282</v>
      </c>
      <c r="J2" t="s">
        <v>2283</v>
      </c>
      <c r="K2" t="s">
        <v>402</v>
      </c>
      <c r="L2" t="s">
        <v>2069</v>
      </c>
      <c r="M2" t="s">
        <v>2262</v>
      </c>
      <c r="N2" t="s">
        <v>2263</v>
      </c>
      <c r="Q2" t="str">
        <f>+AX4</f>
        <v>Acquisto immobile sede dell'attività</v>
      </c>
      <c r="R2" t="str">
        <f>+AX5</f>
        <v>Opere murarie e assimilate</v>
      </c>
      <c r="S2" s="264" t="str">
        <f>+AX6</f>
        <v>Macchinari, impianti ed attrezzature</v>
      </c>
      <c r="T2" t="str">
        <f>+AX7</f>
        <v>Programmi informatici, brevetti, licenze e marchi</v>
      </c>
      <c r="U2" t="str">
        <f>+AX8</f>
        <v>TOTALE PROGRAMMA DI SPESA</v>
      </c>
      <c r="V2" t="str">
        <f>+AX9</f>
        <v/>
      </c>
      <c r="X2" s="1196" t="s">
        <v>2281</v>
      </c>
      <c r="Y2" t="s">
        <v>2282</v>
      </c>
      <c r="Z2" t="s">
        <v>2283</v>
      </c>
      <c r="AA2" t="s">
        <v>402</v>
      </c>
      <c r="AB2" t="s">
        <v>2069</v>
      </c>
      <c r="AC2" t="s">
        <v>2262</v>
      </c>
      <c r="AD2" t="s">
        <v>2263</v>
      </c>
      <c r="AG2" t="s">
        <v>2284</v>
      </c>
      <c r="AH2" t="s">
        <v>563</v>
      </c>
      <c r="AI2" t="s">
        <v>2285</v>
      </c>
      <c r="AJ2" t="s">
        <v>2286</v>
      </c>
      <c r="AM2" s="1197" t="s">
        <v>2287</v>
      </c>
      <c r="AN2" s="1197" t="s">
        <v>567</v>
      </c>
      <c r="AO2" t="str">
        <f t="shared" ref="AO2:AT2" si="0">+A2</f>
        <v>Acquisto immobile sede dell'attività</v>
      </c>
      <c r="AP2" t="str">
        <f t="shared" si="0"/>
        <v>Opere murarie e assimilate</v>
      </c>
      <c r="AQ2" t="str">
        <f t="shared" si="0"/>
        <v>Macchinari, impianti ed attrezzature</v>
      </c>
      <c r="AR2" t="str">
        <f t="shared" si="0"/>
        <v>Programmi informatici, brevetti, licenze e marchi</v>
      </c>
      <c r="AS2" t="str">
        <f t="shared" si="0"/>
        <v>TOTALE PROGRAMMA DI SPESA</v>
      </c>
      <c r="AT2" s="572" t="str">
        <f t="shared" si="0"/>
        <v/>
      </c>
      <c r="AZ2" t="s">
        <v>2245</v>
      </c>
      <c r="BB2" t="s">
        <v>2246</v>
      </c>
    </row>
    <row r="3" spans="1:54" x14ac:dyDescent="0.35">
      <c r="A3" t="str">
        <f ca="1">IFERROR(IF($K3=A$2,_xlfn.CONCAT($I3,$J3),"NO"),0)</f>
        <v>NO</v>
      </c>
      <c r="B3" t="str">
        <f ca="1">IFERROR(IF($K3=B$2,_xlfn.CONCAT($I3,$J3),"NO"),0)</f>
        <v>NO</v>
      </c>
      <c r="C3" t="str">
        <f t="shared" ref="C3:F18" ca="1" si="1">IFERROR(IF($K3=C$2,_xlfn.CONCAT($I3,$J3),"NO"),0)</f>
        <v>NO</v>
      </c>
      <c r="D3">
        <f t="shared" ca="1" si="1"/>
        <v>0</v>
      </c>
      <c r="E3" t="str">
        <f t="shared" ca="1" si="1"/>
        <v>NO</v>
      </c>
      <c r="F3" t="str">
        <f t="shared" ca="1" si="1"/>
        <v>NO</v>
      </c>
      <c r="H3" s="1196" t="e">
        <f ca="1">_xlfn.CONCAT(I3,J3,)</f>
        <v>#REF!</v>
      </c>
      <c r="I3" t="e" cm="1">
        <f t="array" aca="1" ref="I3" ca="1">+FORNITOREISAL</f>
        <v>#REF!</v>
      </c>
      <c r="J3" t="e" cm="1">
        <f t="array" aca="1" ref="J3" ca="1">+NfatturaISAL</f>
        <v>#REF!</v>
      </c>
      <c r="K3" t="str" cm="1">
        <f t="array" aca="1" ref="K3:K6" ca="1">+Categoriesal1</f>
        <v>Programmi informatici, brevetti, licenze e marchi</v>
      </c>
      <c r="L3" t="e" cm="1">
        <f t="array" aca="1" ref="L3" ca="1">+Ammessosal1</f>
        <v>#REF!</v>
      </c>
      <c r="M3" t="e" cm="1">
        <f t="array" aca="1" ref="M3" ca="1">+Quietanzasal1</f>
        <v>#REF!</v>
      </c>
      <c r="N3" t="e" cm="1">
        <f t="array" aca="1" ref="N3" ca="1">IF(+Quietanzasal1="si",1,0)*Ammessosal1</f>
        <v>#REF!</v>
      </c>
      <c r="Q3">
        <f ca="1">IFERROR(IF($AA3=Q$2,_xlfn.CONCAT($Y3,$Z3),"NO"),0)</f>
        <v>0</v>
      </c>
      <c r="R3">
        <f t="shared" ref="R3:V18" ca="1" si="2">IFERROR(IF($AA3=R$2,_xlfn.CONCAT($Y3,$Z3),"NO"),0)</f>
        <v>0</v>
      </c>
      <c r="S3">
        <f t="shared" ca="1" si="2"/>
        <v>0</v>
      </c>
      <c r="T3">
        <f t="shared" ca="1" si="2"/>
        <v>0</v>
      </c>
      <c r="U3">
        <f t="shared" ca="1" si="2"/>
        <v>0</v>
      </c>
      <c r="V3">
        <f t="shared" ca="1" si="2"/>
        <v>0</v>
      </c>
      <c r="W3" t="str">
        <f t="shared" ref="W3" si="3">IF(AV3=W2,_xlfn.CONCAT(AE3,AU3))</f>
        <v/>
      </c>
      <c r="X3" s="1196" t="e">
        <f ca="1">_xlfn.CONCAT(Y3,Z3,)</f>
        <v>#REF!</v>
      </c>
      <c r="Y3" t="e" cm="1">
        <f t="array" aca="1" ref="Y3" ca="1">+FORNITOREIISAL</f>
        <v>#REF!</v>
      </c>
      <c r="Z3" t="e" cm="1">
        <f t="array" aca="1" ref="Z3" ca="1">+NfatturaIISAL</f>
        <v>#REF!</v>
      </c>
      <c r="AA3" t="e" cm="1">
        <f t="array" aca="1" ref="AA3" ca="1">+Categoriesal2</f>
        <v>#REF!</v>
      </c>
      <c r="AB3" t="e" cm="1">
        <f t="array" aca="1" ref="AB3" ca="1">+Ammessosal2</f>
        <v>#REF!</v>
      </c>
      <c r="AC3" t="e" cm="1">
        <f t="array" aca="1" ref="AC3" ca="1">+Quietanzasal2</f>
        <v>#REF!</v>
      </c>
      <c r="AD3" t="e" cm="1">
        <f t="array" aca="1" ref="AD3" ca="1">IF(+Quietanzasal2="si",1,0)*Ammessosal2</f>
        <v>#REF!</v>
      </c>
      <c r="AG3" t="e" cm="1">
        <f t="array" aca="1" ref="AG3" ca="1">+NFATTURAdaquietanzaredelIISAL</f>
        <v>#REF!</v>
      </c>
      <c r="AH3" t="e" cm="1">
        <f t="array" aca="1" ref="AH3" ca="1">+FORNITOREdaquietanzaredeIIISAL</f>
        <v>#REF!</v>
      </c>
      <c r="AI3" t="e" cm="1">
        <f t="array" aca="1" ref="AI3" ca="1">+VettoreQUIETANZATEIISAL</f>
        <v>#REF!</v>
      </c>
      <c r="AJ3" s="1196" t="e">
        <f ca="1">+IF(AI3="si",_xlfn.CONCAT(AH3,AG3),"")</f>
        <v>#REF!</v>
      </c>
      <c r="AK3" t="e" cm="1">
        <f t="array" aca="1" ref="AK3:AK5" ca="1">+_xlfn.UNIQUE(AJ3:AJ1048576)</f>
        <v>#REF!</v>
      </c>
      <c r="AM3" s="1198" t="str" cm="1">
        <f t="array" aca="1" ref="AM3:AM6" ca="1">+Categoriesal1</f>
        <v>Programmi informatici, brevetti, licenze e marchi</v>
      </c>
      <c r="AN3" s="1198">
        <f ca="1">IFERROR(VLOOKUP(AK3,A$2:O$1048576,12,FALSE),0)</f>
        <v>0</v>
      </c>
      <c r="AO3" s="1196">
        <f ca="1">SUMIF(A:A,$AK3,$L:$L)+SUMIF(Q:Q,$AK3,$AB:$AB)</f>
        <v>0</v>
      </c>
      <c r="AP3" s="1196">
        <f t="shared" ref="AP3:AT3" ca="1" si="4">SUMIF(B:B,$AK3,$L:$L)+SUMIF(R:R,$AK3,$AB:$AB)</f>
        <v>0</v>
      </c>
      <c r="AQ3" s="1196">
        <f t="shared" ca="1" si="4"/>
        <v>0</v>
      </c>
      <c r="AR3" s="1196">
        <f t="shared" ca="1" si="4"/>
        <v>0</v>
      </c>
      <c r="AS3" s="1196">
        <f t="shared" ca="1" si="4"/>
        <v>0</v>
      </c>
      <c r="AT3" s="1196">
        <f t="shared" ca="1" si="4"/>
        <v>0</v>
      </c>
      <c r="AX3" t="s">
        <v>2067</v>
      </c>
      <c r="AY3" t="s">
        <v>2288</v>
      </c>
      <c r="AZ3" t="s">
        <v>2068</v>
      </c>
      <c r="BA3" t="s">
        <v>2289</v>
      </c>
      <c r="BB3" t="s">
        <v>2290</v>
      </c>
    </row>
    <row r="4" spans="1:54" x14ac:dyDescent="0.35">
      <c r="A4" t="str">
        <f t="shared" ref="A4:F56" ca="1" si="5">IFERROR(IF($K4=A$2,_xlfn.CONCAT($I4,$J4),"NO"),0)</f>
        <v>NO</v>
      </c>
      <c r="B4" t="str">
        <f t="shared" ca="1" si="5"/>
        <v/>
      </c>
      <c r="C4" t="str">
        <f t="shared" ca="1" si="1"/>
        <v>NO</v>
      </c>
      <c r="D4" t="str">
        <f t="shared" ca="1" si="1"/>
        <v>NO</v>
      </c>
      <c r="E4" t="str">
        <f t="shared" ca="1" si="1"/>
        <v>NO</v>
      </c>
      <c r="F4" t="str">
        <f t="shared" ca="1" si="1"/>
        <v>NO</v>
      </c>
      <c r="H4" s="1196" t="str">
        <f t="shared" ref="H4:H67" si="6">_xlfn.CONCAT(I4,J4,)</f>
        <v/>
      </c>
      <c r="K4" t="str">
        <f ca="1"/>
        <v>Opere murarie e assimilate</v>
      </c>
      <c r="Q4" t="str">
        <f t="shared" ref="Q4:V58" si="7">IFERROR(IF($AA4=Q$2,_xlfn.CONCAT($Y4,$Z4),"NO"),0)</f>
        <v>NO</v>
      </c>
      <c r="R4" t="str">
        <f t="shared" si="2"/>
        <v>NO</v>
      </c>
      <c r="S4" t="str">
        <f t="shared" si="2"/>
        <v>NO</v>
      </c>
      <c r="T4" t="str">
        <f t="shared" si="2"/>
        <v>NO</v>
      </c>
      <c r="U4" t="str">
        <f t="shared" si="2"/>
        <v>NO</v>
      </c>
      <c r="V4" t="str">
        <f t="shared" si="2"/>
        <v/>
      </c>
      <c r="W4" t="str">
        <f t="shared" ref="W4:W67" si="8">IF(AV4=W3,_xlfn.CONCAT(AE4,AU4))</f>
        <v/>
      </c>
      <c r="X4" s="1196" t="str">
        <f t="shared" ref="X4:X67" si="9">_xlfn.CONCAT(Y4,Z4,)</f>
        <v/>
      </c>
      <c r="AJ4" s="1196" t="str">
        <f t="shared" ref="AJ4:AJ67" si="10">+IF(AI4="si",_xlfn.CONCAT(AH4,AG4),"")</f>
        <v/>
      </c>
      <c r="AK4" t="str">
        <f ca="1"/>
        <v/>
      </c>
      <c r="AM4" s="1198" t="str">
        <f ca="1"/>
        <v>Opere murarie e assimilate</v>
      </c>
      <c r="AN4" s="1198">
        <f ca="1">IFERROR(VLOOKUP(AK4,A$2:O$1048576,12,FALSE),0)</f>
        <v>0</v>
      </c>
      <c r="AO4" s="1196">
        <f t="shared" ref="AO4:AO19" ca="1" si="11">SUMIF(A:A,$AK4,$L:$L)+SUMIF(Q:Q,$AK4,$AB:$AB)</f>
        <v>0</v>
      </c>
      <c r="AP4" s="1196">
        <f t="shared" ref="AP4:AP19" ca="1" si="12">SUMIF(B:B,$AK4,$L:$L)+SUMIF(R:R,$AK4,$AB:$AB)</f>
        <v>0</v>
      </c>
      <c r="AQ4" s="1196">
        <f t="shared" ref="AQ4:AQ19" ca="1" si="13">SUMIF(C:C,$AK4,$L:$L)+SUMIF(S:S,$AK4,$AB:$AB)</f>
        <v>0</v>
      </c>
      <c r="AR4" s="1196">
        <f t="shared" ref="AR4:AR19" ca="1" si="14">SUMIF(D:D,$AK4,$L:$L)+SUMIF(T:T,$AK4,$AB:$AB)</f>
        <v>0</v>
      </c>
      <c r="AS4" s="1196">
        <f t="shared" ref="AS4:AS19" ca="1" si="15">SUMIF(E:E,$AK4,$L:$L)+SUMIF(U:U,$AK4,$AB:$AB)</f>
        <v>0</v>
      </c>
      <c r="AT4" s="1196">
        <f t="shared" ref="AT4:AT19" ca="1" si="16">SUMIF(F:F,$AK4,$L:$L)+SUMIF(V:V,$AK4,$AB:$AB)</f>
        <v>0</v>
      </c>
      <c r="AX4" t="str">
        <f>+IF(Anagrafica!$G$2="Capo II","Opere murarie e assimilate","Acquisto immobile sede dell'attività")</f>
        <v>Acquisto immobile sede dell'attività</v>
      </c>
      <c r="AY4" t="e">
        <f ca="1">SUM(AO:AO)</f>
        <v>#REF!</v>
      </c>
      <c r="AZ4" s="1215">
        <f ca="1">+'1 SAL'!C110</f>
        <v>0</v>
      </c>
      <c r="BA4" s="316" t="str">
        <f ca="1">IFERROR(+AY4*Anagrafica!F38,"")</f>
        <v/>
      </c>
      <c r="BB4" s="316">
        <v>0</v>
      </c>
    </row>
    <row r="5" spans="1:54" x14ac:dyDescent="0.35">
      <c r="A5" t="str">
        <f t="shared" ca="1" si="5"/>
        <v>NO</v>
      </c>
      <c r="B5" t="str">
        <f t="shared" ca="1" si="5"/>
        <v>NO</v>
      </c>
      <c r="C5" t="str">
        <f t="shared" ca="1" si="1"/>
        <v>NO</v>
      </c>
      <c r="D5" t="str">
        <f t="shared" ca="1" si="1"/>
        <v>NO</v>
      </c>
      <c r="E5" t="str">
        <f t="shared" ca="1" si="1"/>
        <v>NO</v>
      </c>
      <c r="F5" t="str">
        <f t="shared" ca="1" si="1"/>
        <v>NO</v>
      </c>
      <c r="H5" s="1196" t="str">
        <f t="shared" si="6"/>
        <v/>
      </c>
      <c r="K5" t="str">
        <f ca="1"/>
        <v>Oneri notarili connessi alla stipula del contratto di finanziamento ed oneri connessi alla costituzione della società</v>
      </c>
      <c r="Q5" t="str">
        <f t="shared" si="7"/>
        <v>NO</v>
      </c>
      <c r="R5" t="str">
        <f t="shared" si="2"/>
        <v>NO</v>
      </c>
      <c r="S5" t="str">
        <f t="shared" si="2"/>
        <v>NO</v>
      </c>
      <c r="T5" t="str">
        <f t="shared" si="2"/>
        <v>NO</v>
      </c>
      <c r="U5" t="str">
        <f t="shared" si="2"/>
        <v>NO</v>
      </c>
      <c r="V5" t="str">
        <f t="shared" si="2"/>
        <v/>
      </c>
      <c r="W5" t="str">
        <f t="shared" si="8"/>
        <v/>
      </c>
      <c r="X5" s="1196" t="str">
        <f t="shared" si="9"/>
        <v/>
      </c>
      <c r="AJ5" s="1196" t="str">
        <f t="shared" si="10"/>
        <v/>
      </c>
      <c r="AK5">
        <f ca="1"/>
        <v>0</v>
      </c>
      <c r="AM5" s="1198" t="str">
        <f ca="1"/>
        <v>Oneri notarili connessi alla stipula del contratto di finanziamento ed oneri connessi alla costituzione della società</v>
      </c>
      <c r="AN5" s="1198">
        <f ca="1">IFERROR(VLOOKUP(AK5,A$2:O$1048576,12,FALSE),0)</f>
        <v>0</v>
      </c>
      <c r="AO5" s="1196" t="e">
        <f t="shared" ca="1" si="11"/>
        <v>#REF!</v>
      </c>
      <c r="AP5" s="1196" t="e">
        <f t="shared" ca="1" si="12"/>
        <v>#REF!</v>
      </c>
      <c r="AQ5" s="1196" t="e">
        <f t="shared" ca="1" si="13"/>
        <v>#REF!</v>
      </c>
      <c r="AR5" s="1196" t="e">
        <f t="shared" ca="1" si="14"/>
        <v>#REF!</v>
      </c>
      <c r="AS5" s="1196" t="e">
        <f t="shared" ca="1" si="15"/>
        <v>#REF!</v>
      </c>
      <c r="AT5" s="1196" t="e">
        <f t="shared" ca="1" si="16"/>
        <v>#REF!</v>
      </c>
      <c r="AX5" t="str">
        <f>+IF(Anagrafica!$G$2="Capo II","Macchinari, impianti ed attrezzature","Opere murarie e assimilate")</f>
        <v>Opere murarie e assimilate</v>
      </c>
      <c r="AY5" t="e">
        <f ca="1">SUM(AP:AP)</f>
        <v>#REF!</v>
      </c>
      <c r="AZ5" s="1215">
        <f ca="1">+'1 SAL'!C111</f>
        <v>0</v>
      </c>
      <c r="BA5" s="1213" t="e">
        <f ca="1">+IF(Anagrafica!$G$2="Capo II",(AY5*Anagrafica!$F$38-BB5),AY5*Anagrafica!$F$38)</f>
        <v>#REF!</v>
      </c>
      <c r="BB5" s="316">
        <f ca="1">+IFERROR((AY5/'Calcolo contributo CAPO II'!$C$23)*Anagrafica!$C$37,0)</f>
        <v>0</v>
      </c>
    </row>
    <row r="6" spans="1:54" x14ac:dyDescent="0.35">
      <c r="A6" t="str">
        <f t="shared" ca="1" si="5"/>
        <v>NO</v>
      </c>
      <c r="B6" t="str">
        <f t="shared" ca="1" si="5"/>
        <v>NO</v>
      </c>
      <c r="C6" t="str">
        <f t="shared" ca="1" si="1"/>
        <v>NO</v>
      </c>
      <c r="D6" t="str">
        <f t="shared" ca="1" si="1"/>
        <v>NO</v>
      </c>
      <c r="E6" t="str">
        <f t="shared" ca="1" si="1"/>
        <v>NO</v>
      </c>
      <c r="F6" t="str">
        <f t="shared" ca="1" si="1"/>
        <v>NO</v>
      </c>
      <c r="H6" s="1196" t="str">
        <f t="shared" si="6"/>
        <v/>
      </c>
      <c r="K6" t="str">
        <f ca="1"/>
        <v>Programmi informatici e servizi per le tecnologie dell’informazione e della comunicazione</v>
      </c>
      <c r="Q6" t="str">
        <f t="shared" si="7"/>
        <v>NO</v>
      </c>
      <c r="R6" t="str">
        <f t="shared" si="2"/>
        <v>NO</v>
      </c>
      <c r="S6" t="str">
        <f t="shared" si="2"/>
        <v>NO</v>
      </c>
      <c r="T6" t="str">
        <f t="shared" si="2"/>
        <v>NO</v>
      </c>
      <c r="U6" t="str">
        <f t="shared" si="2"/>
        <v>NO</v>
      </c>
      <c r="V6" t="str">
        <f t="shared" si="2"/>
        <v/>
      </c>
      <c r="W6" t="str">
        <f t="shared" si="8"/>
        <v/>
      </c>
      <c r="X6" s="1196" t="str">
        <f t="shared" si="9"/>
        <v/>
      </c>
      <c r="AJ6" s="1196" t="str">
        <f t="shared" si="10"/>
        <v/>
      </c>
      <c r="AM6" s="1198" t="str">
        <f ca="1"/>
        <v>Programmi informatici e servizi per le tecnologie dell’informazione e della comunicazione</v>
      </c>
      <c r="AN6" s="1198">
        <f ca="1">IFERROR(VLOOKUP(AJ6,A$2:O$1048576,12,FALSE),0)</f>
        <v>0</v>
      </c>
      <c r="AO6" s="1196" t="e">
        <f t="shared" ca="1" si="11"/>
        <v>#REF!</v>
      </c>
      <c r="AP6" s="1196" t="e">
        <f t="shared" ca="1" si="12"/>
        <v>#REF!</v>
      </c>
      <c r="AQ6" s="1196" t="e">
        <f t="shared" ca="1" si="13"/>
        <v>#REF!</v>
      </c>
      <c r="AR6" s="1196" t="e">
        <f t="shared" ca="1" si="14"/>
        <v>#REF!</v>
      </c>
      <c r="AS6" s="1196" t="e">
        <f t="shared" ca="1" si="15"/>
        <v>#REF!</v>
      </c>
      <c r="AT6" s="1196" t="e">
        <f t="shared" ca="1" si="16"/>
        <v>#REF!</v>
      </c>
      <c r="AX6" t="str">
        <f>+IF(Anagrafica!$G$2="Capo II","Programmi informatici e servizi per le tecnologie dell’informazione e della comunicazione","Macchinari, impianti ed attrezzature")</f>
        <v>Macchinari, impianti ed attrezzature</v>
      </c>
      <c r="AY6" t="e">
        <f ca="1">SUM(AQ:AQ)</f>
        <v>#REF!</v>
      </c>
      <c r="AZ6" s="1215">
        <f ca="1">+'1 SAL'!C112</f>
        <v>10000</v>
      </c>
      <c r="BA6" s="1213" t="e">
        <f ca="1">+(AY6*Anagrafica!$F$38-BB6)</f>
        <v>#REF!</v>
      </c>
      <c r="BB6" s="1213" t="e">
        <f ca="1">IF(Anagrafica!$G$2="Capo II",(AY6/'Calcolo contributo CAPO II'!$C$23)*Anagrafica!$C$37,AY6/(GBER!$C$11+GBER!$C$13)*Anagrafica!$C$37)</f>
        <v>#REF!</v>
      </c>
    </row>
    <row r="7" spans="1:54" x14ac:dyDescent="0.35">
      <c r="A7" t="str">
        <f t="shared" si="5"/>
        <v>NO</v>
      </c>
      <c r="B7" t="str">
        <f t="shared" si="5"/>
        <v>NO</v>
      </c>
      <c r="C7" t="str">
        <f t="shared" si="1"/>
        <v>NO</v>
      </c>
      <c r="D7" t="str">
        <f t="shared" si="1"/>
        <v>NO</v>
      </c>
      <c r="E7" t="str">
        <f t="shared" si="1"/>
        <v>NO</v>
      </c>
      <c r="F7" t="str">
        <f t="shared" si="1"/>
        <v/>
      </c>
      <c r="H7" s="1196" t="str">
        <f t="shared" si="6"/>
        <v/>
      </c>
      <c r="Q7" t="str">
        <f t="shared" si="7"/>
        <v>NO</v>
      </c>
      <c r="R7" t="str">
        <f t="shared" si="2"/>
        <v>NO</v>
      </c>
      <c r="S7" t="str">
        <f t="shared" si="2"/>
        <v>NO</v>
      </c>
      <c r="T7" t="str">
        <f t="shared" si="2"/>
        <v>NO</v>
      </c>
      <c r="U7" t="str">
        <f t="shared" si="2"/>
        <v>NO</v>
      </c>
      <c r="V7" t="str">
        <f t="shared" si="2"/>
        <v/>
      </c>
      <c r="W7" t="str">
        <f t="shared" si="8"/>
        <v/>
      </c>
      <c r="X7" s="1196" t="str">
        <f t="shared" si="9"/>
        <v/>
      </c>
      <c r="AJ7" s="1196" t="str">
        <f t="shared" si="10"/>
        <v/>
      </c>
      <c r="AM7" s="1198"/>
      <c r="AN7" s="1198">
        <f ca="1">IFERROR(VLOOKUP(AJ7,A$2:O$1048576,12,FALSE),0)</f>
        <v>0</v>
      </c>
      <c r="AO7" s="1196" t="e">
        <f t="shared" ca="1" si="11"/>
        <v>#REF!</v>
      </c>
      <c r="AP7" s="1196" t="e">
        <f t="shared" ca="1" si="12"/>
        <v>#REF!</v>
      </c>
      <c r="AQ7" s="1196" t="e">
        <f t="shared" ca="1" si="13"/>
        <v>#REF!</v>
      </c>
      <c r="AR7" s="1196" t="e">
        <f t="shared" ca="1" si="14"/>
        <v>#REF!</v>
      </c>
      <c r="AS7" s="1196" t="e">
        <f t="shared" ca="1" si="15"/>
        <v>#REF!</v>
      </c>
      <c r="AT7" s="1196" t="e">
        <f t="shared" ca="1" si="16"/>
        <v>#REF!</v>
      </c>
      <c r="AX7" t="str">
        <f>+IF(Anagrafica!$G$2="Capo II","Acquisto di brevetti o acquisizione di relative licenze d’uso","Programmi informatici, brevetti, licenze e marchi")</f>
        <v>Programmi informatici, brevetti, licenze e marchi</v>
      </c>
      <c r="AY7" t="e">
        <f ca="1">SUM(AR:AR)</f>
        <v>#REF!</v>
      </c>
      <c r="AZ7" s="1215">
        <f ca="1">+'1 SAL'!C113</f>
        <v>0</v>
      </c>
      <c r="BA7" s="1213" t="e">
        <f ca="1">+(AY7*Anagrafica!$F$38-BB7)</f>
        <v>#REF!</v>
      </c>
      <c r="BB7" s="1213" t="e">
        <f ca="1">IF(Anagrafica!$G$2="Capo II",(AY7/'Calcolo contributo CAPO II'!$C$23)*Anagrafica!$C$37,AY7/(GBER!$C$11+GBER!$C$13)*Anagrafica!$C$37)</f>
        <v>#REF!</v>
      </c>
    </row>
    <row r="8" spans="1:54" x14ac:dyDescent="0.35">
      <c r="A8" t="str">
        <f t="shared" si="5"/>
        <v>NO</v>
      </c>
      <c r="B8" t="str">
        <f t="shared" si="5"/>
        <v>NO</v>
      </c>
      <c r="C8" t="str">
        <f t="shared" si="1"/>
        <v>NO</v>
      </c>
      <c r="D8" t="str">
        <f t="shared" si="1"/>
        <v>NO</v>
      </c>
      <c r="E8" t="str">
        <f t="shared" si="1"/>
        <v>NO</v>
      </c>
      <c r="F8" t="str">
        <f t="shared" si="1"/>
        <v/>
      </c>
      <c r="H8" s="1196" t="str">
        <f t="shared" si="6"/>
        <v/>
      </c>
      <c r="Q8" t="str">
        <f t="shared" si="7"/>
        <v>NO</v>
      </c>
      <c r="R8" t="str">
        <f t="shared" si="2"/>
        <v>NO</v>
      </c>
      <c r="S8" t="str">
        <f t="shared" si="2"/>
        <v>NO</v>
      </c>
      <c r="T8" t="str">
        <f t="shared" si="2"/>
        <v>NO</v>
      </c>
      <c r="U8" t="str">
        <f t="shared" si="2"/>
        <v>NO</v>
      </c>
      <c r="V8" t="str">
        <f t="shared" si="2"/>
        <v/>
      </c>
      <c r="W8" t="str">
        <f t="shared" si="8"/>
        <v/>
      </c>
      <c r="X8" s="1196" t="str">
        <f t="shared" si="9"/>
        <v/>
      </c>
      <c r="AJ8" s="1196" t="str">
        <f t="shared" si="10"/>
        <v/>
      </c>
      <c r="AM8" s="1198"/>
      <c r="AN8" s="1198">
        <f ca="1">IFERROR(VLOOKUP(AJ8,A$2:O$1048576,12,FALSE),0)</f>
        <v>0</v>
      </c>
      <c r="AO8" s="1196" t="e">
        <f t="shared" ca="1" si="11"/>
        <v>#REF!</v>
      </c>
      <c r="AP8" s="1196" t="e">
        <f t="shared" ca="1" si="12"/>
        <v>#REF!</v>
      </c>
      <c r="AQ8" s="1196" t="e">
        <f t="shared" ca="1" si="13"/>
        <v>#REF!</v>
      </c>
      <c r="AR8" s="1196" t="e">
        <f t="shared" ca="1" si="14"/>
        <v>#REF!</v>
      </c>
      <c r="AS8" s="1196" t="e">
        <f t="shared" ca="1" si="15"/>
        <v>#REF!</v>
      </c>
      <c r="AT8" s="1196" t="e">
        <f t="shared" ca="1" si="16"/>
        <v>#REF!</v>
      </c>
      <c r="AX8" t="str">
        <f>+IF(Anagrafica!$G$2="Capo II","Consulenze specialistiche","TOTALE PROGRAMMA DI SPESA")</f>
        <v>TOTALE PROGRAMMA DI SPESA</v>
      </c>
      <c r="AY8" t="e">
        <f ca="1">SUM(AS:AS)</f>
        <v>#REF!</v>
      </c>
      <c r="AZ8" s="1215">
        <f ca="1">+'1 SAL'!C114</f>
        <v>10000</v>
      </c>
      <c r="BA8" s="1213" t="str">
        <f ca="1">+IFERROR(+AY8*Anagrafica!F38,"")</f>
        <v/>
      </c>
      <c r="BB8" s="1213">
        <v>0</v>
      </c>
    </row>
    <row r="9" spans="1:54" x14ac:dyDescent="0.35">
      <c r="A9" t="str">
        <f t="shared" si="5"/>
        <v>NO</v>
      </c>
      <c r="B9" t="str">
        <f t="shared" si="5"/>
        <v>NO</v>
      </c>
      <c r="C9" t="str">
        <f t="shared" si="1"/>
        <v>NO</v>
      </c>
      <c r="D9" t="str">
        <f t="shared" si="1"/>
        <v>NO</v>
      </c>
      <c r="E9" t="str">
        <f t="shared" si="1"/>
        <v>NO</v>
      </c>
      <c r="F9" t="str">
        <f t="shared" si="1"/>
        <v/>
      </c>
      <c r="H9" s="1196" t="str">
        <f t="shared" si="6"/>
        <v/>
      </c>
      <c r="Q9" t="str">
        <f t="shared" si="7"/>
        <v>NO</v>
      </c>
      <c r="R9" t="str">
        <f t="shared" si="2"/>
        <v>NO</v>
      </c>
      <c r="S9" t="str">
        <f t="shared" si="2"/>
        <v>NO</v>
      </c>
      <c r="T9" t="str">
        <f t="shared" si="2"/>
        <v>NO</v>
      </c>
      <c r="U9" t="str">
        <f t="shared" si="2"/>
        <v>NO</v>
      </c>
      <c r="V9" t="str">
        <f t="shared" si="2"/>
        <v/>
      </c>
      <c r="W9" t="str">
        <f t="shared" si="8"/>
        <v/>
      </c>
      <c r="X9" s="1196" t="str">
        <f t="shared" si="9"/>
        <v/>
      </c>
      <c r="AJ9" s="1196" t="str">
        <f t="shared" si="10"/>
        <v/>
      </c>
      <c r="AM9" s="1198"/>
      <c r="AN9" s="1198">
        <f ca="1">IFERROR(VLOOKUP(AJ9,A$2:O$1048576,12,FALSE),0)</f>
        <v>0</v>
      </c>
      <c r="AO9" s="1196" t="e">
        <f t="shared" ca="1" si="11"/>
        <v>#REF!</v>
      </c>
      <c r="AP9" s="1196" t="e">
        <f t="shared" ca="1" si="12"/>
        <v>#REF!</v>
      </c>
      <c r="AQ9" s="1196" t="e">
        <f t="shared" ca="1" si="13"/>
        <v>#REF!</v>
      </c>
      <c r="AR9" s="1196" t="e">
        <f t="shared" ca="1" si="14"/>
        <v>#REF!</v>
      </c>
      <c r="AS9" s="1196" t="e">
        <f t="shared" ca="1" si="15"/>
        <v>#REF!</v>
      </c>
      <c r="AT9" s="1196" t="e">
        <f t="shared" ca="1" si="16"/>
        <v>#REF!</v>
      </c>
      <c r="AX9" t="str">
        <f>+IF(Anagrafica!$G$2="Capo II","Oneri notarili connessi alla stipula del contratto di finanziamento ed oneri connessi alla costituzione della società","")</f>
        <v/>
      </c>
      <c r="AY9" t="e">
        <f ca="1">SUM(AT:AT)</f>
        <v>#REF!</v>
      </c>
      <c r="AZ9" s="1215" t="str">
        <f>+'1 SAL'!C115</f>
        <v/>
      </c>
      <c r="BA9" s="1213" t="str">
        <f ca="1">+IFERROR(+AY9*Anagrafica!F39,"")</f>
        <v/>
      </c>
      <c r="BB9" s="1213">
        <v>0</v>
      </c>
    </row>
    <row r="10" spans="1:54" x14ac:dyDescent="0.35">
      <c r="A10" t="str">
        <f t="shared" si="5"/>
        <v>NO</v>
      </c>
      <c r="B10" t="str">
        <f t="shared" si="5"/>
        <v>NO</v>
      </c>
      <c r="C10" t="str">
        <f t="shared" si="1"/>
        <v>NO</v>
      </c>
      <c r="D10" t="str">
        <f t="shared" si="1"/>
        <v>NO</v>
      </c>
      <c r="E10" t="str">
        <f t="shared" si="1"/>
        <v>NO</v>
      </c>
      <c r="F10" t="str">
        <f t="shared" si="1"/>
        <v/>
      </c>
      <c r="H10" s="1196" t="str">
        <f t="shared" si="6"/>
        <v/>
      </c>
      <c r="Q10" t="str">
        <f t="shared" si="7"/>
        <v>NO</v>
      </c>
      <c r="R10" t="str">
        <f t="shared" si="2"/>
        <v>NO</v>
      </c>
      <c r="S10" t="str">
        <f t="shared" si="2"/>
        <v>NO</v>
      </c>
      <c r="T10" t="str">
        <f t="shared" si="2"/>
        <v>NO</v>
      </c>
      <c r="U10" t="str">
        <f t="shared" si="2"/>
        <v>NO</v>
      </c>
      <c r="V10" t="str">
        <f t="shared" si="2"/>
        <v/>
      </c>
      <c r="W10" t="str">
        <f t="shared" si="8"/>
        <v/>
      </c>
      <c r="X10" s="1196" t="str">
        <f t="shared" si="9"/>
        <v/>
      </c>
      <c r="AJ10" s="1196" t="str">
        <f t="shared" si="10"/>
        <v/>
      </c>
      <c r="AM10" s="1198"/>
      <c r="AN10" s="1198">
        <f ca="1">IFERROR(VLOOKUP(AJ10,A$2:O$1048576,12,FALSE),0)</f>
        <v>0</v>
      </c>
      <c r="AO10" s="1196" t="e">
        <f t="shared" ca="1" si="11"/>
        <v>#REF!</v>
      </c>
      <c r="AP10" s="1196" t="e">
        <f t="shared" ca="1" si="12"/>
        <v>#REF!</v>
      </c>
      <c r="AQ10" s="1196" t="e">
        <f t="shared" ca="1" si="13"/>
        <v>#REF!</v>
      </c>
      <c r="AR10" s="1196" t="e">
        <f t="shared" ca="1" si="14"/>
        <v>#REF!</v>
      </c>
      <c r="AS10" s="1196" t="e">
        <f t="shared" ca="1" si="15"/>
        <v>#REF!</v>
      </c>
      <c r="AT10" s="1196" t="e">
        <f t="shared" ca="1" si="16"/>
        <v>#REF!</v>
      </c>
      <c r="AX10" t="str">
        <f>+IF(Anagrafica!$G$2="Capo II","TOTALE INVESTIMENTO","")</f>
        <v/>
      </c>
      <c r="AY10">
        <f ca="1">+SUMIF(AL:AM,AX10,AL:AL)</f>
        <v>0</v>
      </c>
      <c r="AZ10" s="1215" t="str">
        <f>+'1 SAL'!C116</f>
        <v/>
      </c>
      <c r="BA10" s="596">
        <f>+'1 SAL'!X115</f>
        <v>0</v>
      </c>
      <c r="BB10" s="596">
        <v>0</v>
      </c>
    </row>
    <row r="11" spans="1:54" x14ac:dyDescent="0.35">
      <c r="A11" t="str">
        <f t="shared" si="5"/>
        <v>NO</v>
      </c>
      <c r="B11" t="str">
        <f t="shared" si="5"/>
        <v>NO</v>
      </c>
      <c r="C11" t="str">
        <f t="shared" si="1"/>
        <v>NO</v>
      </c>
      <c r="D11" t="str">
        <f t="shared" si="1"/>
        <v>NO</v>
      </c>
      <c r="E11" t="str">
        <f t="shared" si="1"/>
        <v>NO</v>
      </c>
      <c r="F11" t="str">
        <f t="shared" si="1"/>
        <v/>
      </c>
      <c r="H11" s="1196" t="str">
        <f t="shared" si="6"/>
        <v/>
      </c>
      <c r="Q11" t="str">
        <f t="shared" si="7"/>
        <v>NO</v>
      </c>
      <c r="R11" t="str">
        <f t="shared" si="2"/>
        <v>NO</v>
      </c>
      <c r="S11" t="str">
        <f t="shared" si="2"/>
        <v>NO</v>
      </c>
      <c r="T11" t="str">
        <f t="shared" si="2"/>
        <v>NO</v>
      </c>
      <c r="U11" t="str">
        <f t="shared" si="2"/>
        <v>NO</v>
      </c>
      <c r="V11" t="str">
        <f t="shared" si="2"/>
        <v/>
      </c>
      <c r="W11" t="str">
        <f t="shared" si="8"/>
        <v/>
      </c>
      <c r="X11" s="1196" t="str">
        <f t="shared" si="9"/>
        <v/>
      </c>
      <c r="AJ11" s="1196" t="str">
        <f t="shared" si="10"/>
        <v/>
      </c>
      <c r="AM11" s="1198"/>
      <c r="AN11" s="1198"/>
      <c r="AO11" s="1196" t="e">
        <f t="shared" ca="1" si="11"/>
        <v>#REF!</v>
      </c>
      <c r="AP11" s="1196" t="e">
        <f t="shared" ca="1" si="12"/>
        <v>#REF!</v>
      </c>
      <c r="AQ11" s="1196" t="e">
        <f t="shared" ca="1" si="13"/>
        <v>#REF!</v>
      </c>
      <c r="AR11" s="1196" t="e">
        <f t="shared" ca="1" si="14"/>
        <v>#REF!</v>
      </c>
      <c r="AS11" s="1196" t="e">
        <f t="shared" ca="1" si="15"/>
        <v>#REF!</v>
      </c>
      <c r="AT11" s="1196" t="e">
        <f t="shared" ca="1" si="16"/>
        <v>#REF!</v>
      </c>
      <c r="AX11" t="str">
        <f>+IF(Anagrafica!$G$2="Capo II","Capitale circolante","")</f>
        <v/>
      </c>
      <c r="AY11">
        <f ca="1">+SUMIF(AL:AM,AX11,AL:AL)</f>
        <v>0</v>
      </c>
      <c r="AZ11" s="1215">
        <f>+'1 SAL'!C117</f>
        <v>0</v>
      </c>
      <c r="BA11" s="596">
        <f>+'1 SAL'!X116</f>
        <v>0</v>
      </c>
      <c r="BB11" s="596">
        <v>0</v>
      </c>
    </row>
    <row r="12" spans="1:54" x14ac:dyDescent="0.35">
      <c r="A12" t="str">
        <f t="shared" si="5"/>
        <v>NO</v>
      </c>
      <c r="B12" t="str">
        <f t="shared" si="5"/>
        <v>NO</v>
      </c>
      <c r="C12" t="str">
        <f t="shared" si="1"/>
        <v>NO</v>
      </c>
      <c r="D12" t="str">
        <f t="shared" si="1"/>
        <v>NO</v>
      </c>
      <c r="E12" t="str">
        <f t="shared" si="1"/>
        <v>NO</v>
      </c>
      <c r="F12" t="str">
        <f t="shared" si="1"/>
        <v/>
      </c>
      <c r="H12" s="1196" t="str">
        <f t="shared" si="6"/>
        <v/>
      </c>
      <c r="Q12" t="str">
        <f t="shared" si="7"/>
        <v>NO</v>
      </c>
      <c r="R12" t="str">
        <f t="shared" si="2"/>
        <v>NO</v>
      </c>
      <c r="S12" t="str">
        <f t="shared" si="2"/>
        <v>NO</v>
      </c>
      <c r="T12" t="str">
        <f t="shared" si="2"/>
        <v>NO</v>
      </c>
      <c r="U12" t="str">
        <f t="shared" si="2"/>
        <v>NO</v>
      </c>
      <c r="V12" t="str">
        <f t="shared" si="2"/>
        <v/>
      </c>
      <c r="W12" t="str">
        <f t="shared" si="8"/>
        <v/>
      </c>
      <c r="X12" s="1196" t="str">
        <f t="shared" si="9"/>
        <v/>
      </c>
      <c r="AJ12" s="1196" t="str">
        <f t="shared" si="10"/>
        <v/>
      </c>
      <c r="AM12" s="1198"/>
      <c r="AN12" s="1198"/>
      <c r="AO12" s="1196" t="e">
        <f t="shared" ca="1" si="11"/>
        <v>#REF!</v>
      </c>
      <c r="AP12" s="1196" t="e">
        <f t="shared" ca="1" si="12"/>
        <v>#REF!</v>
      </c>
      <c r="AQ12" s="1196" t="e">
        <f t="shared" ca="1" si="13"/>
        <v>#REF!</v>
      </c>
      <c r="AR12" s="1196" t="e">
        <f t="shared" ca="1" si="14"/>
        <v>#REF!</v>
      </c>
      <c r="AS12" s="1196" t="e">
        <f t="shared" ca="1" si="15"/>
        <v>#REF!</v>
      </c>
      <c r="AT12" s="1196" t="e">
        <f t="shared" ca="1" si="16"/>
        <v>#REF!</v>
      </c>
      <c r="AX12">
        <f>+'1 SAL'!V117</f>
        <v>0</v>
      </c>
      <c r="AY12">
        <f ca="1">+SUMIF(AL:AM,AX12,AL:AL)</f>
        <v>0</v>
      </c>
      <c r="AZ12" s="1215" t="str">
        <f>+'1 SAL'!C118</f>
        <v/>
      </c>
      <c r="BA12" s="596">
        <f>+'1 SAL'!X117</f>
        <v>0</v>
      </c>
      <c r="BB12" s="596">
        <v>0</v>
      </c>
    </row>
    <row r="13" spans="1:54" x14ac:dyDescent="0.35">
      <c r="A13" t="str">
        <f t="shared" si="5"/>
        <v>NO</v>
      </c>
      <c r="B13" t="str">
        <f t="shared" si="5"/>
        <v>NO</v>
      </c>
      <c r="C13" t="str">
        <f t="shared" si="1"/>
        <v>NO</v>
      </c>
      <c r="D13" t="str">
        <f t="shared" si="1"/>
        <v>NO</v>
      </c>
      <c r="E13" t="str">
        <f t="shared" si="1"/>
        <v>NO</v>
      </c>
      <c r="F13" t="str">
        <f t="shared" si="1"/>
        <v/>
      </c>
      <c r="H13" s="1196" t="str">
        <f t="shared" si="6"/>
        <v/>
      </c>
      <c r="Q13" t="str">
        <f t="shared" si="7"/>
        <v>NO</v>
      </c>
      <c r="R13" t="str">
        <f t="shared" si="2"/>
        <v>NO</v>
      </c>
      <c r="S13" t="str">
        <f t="shared" si="2"/>
        <v>NO</v>
      </c>
      <c r="T13" t="str">
        <f t="shared" si="2"/>
        <v>NO</v>
      </c>
      <c r="U13" t="str">
        <f t="shared" si="2"/>
        <v>NO</v>
      </c>
      <c r="V13" t="str">
        <f t="shared" si="2"/>
        <v/>
      </c>
      <c r="W13" t="str">
        <f t="shared" si="8"/>
        <v/>
      </c>
      <c r="X13" s="1196" t="str">
        <f t="shared" si="9"/>
        <v/>
      </c>
      <c r="AJ13" s="1196" t="str">
        <f t="shared" si="10"/>
        <v/>
      </c>
      <c r="AK13" s="318"/>
      <c r="AM13" s="1198"/>
      <c r="AN13" s="1198"/>
      <c r="AO13" s="1196" t="e">
        <f t="shared" ca="1" si="11"/>
        <v>#REF!</v>
      </c>
      <c r="AP13" s="1196" t="e">
        <f t="shared" ca="1" si="12"/>
        <v>#REF!</v>
      </c>
      <c r="AQ13" s="1196" t="e">
        <f t="shared" ca="1" si="13"/>
        <v>#REF!</v>
      </c>
      <c r="AR13" s="1196" t="e">
        <f t="shared" ca="1" si="14"/>
        <v>#REF!</v>
      </c>
      <c r="AS13" s="1196" t="e">
        <f t="shared" ca="1" si="15"/>
        <v>#REF!</v>
      </c>
      <c r="AT13" s="1196" t="e">
        <f t="shared" ca="1" si="16"/>
        <v>#REF!</v>
      </c>
    </row>
    <row r="14" spans="1:54" x14ac:dyDescent="0.35">
      <c r="A14" t="str">
        <f t="shared" si="5"/>
        <v>NO</v>
      </c>
      <c r="B14" t="str">
        <f t="shared" si="5"/>
        <v>NO</v>
      </c>
      <c r="C14" t="str">
        <f t="shared" si="1"/>
        <v>NO</v>
      </c>
      <c r="D14" t="str">
        <f t="shared" si="1"/>
        <v>NO</v>
      </c>
      <c r="E14" t="str">
        <f t="shared" si="1"/>
        <v>NO</v>
      </c>
      <c r="F14" t="str">
        <f t="shared" si="1"/>
        <v/>
      </c>
      <c r="H14" s="1196" t="str">
        <f t="shared" si="6"/>
        <v/>
      </c>
      <c r="Q14" t="str">
        <f t="shared" si="7"/>
        <v>NO</v>
      </c>
      <c r="R14" t="str">
        <f t="shared" si="2"/>
        <v>NO</v>
      </c>
      <c r="S14" t="str">
        <f t="shared" si="2"/>
        <v>NO</v>
      </c>
      <c r="T14" t="str">
        <f t="shared" si="2"/>
        <v>NO</v>
      </c>
      <c r="U14" t="str">
        <f t="shared" si="2"/>
        <v>NO</v>
      </c>
      <c r="V14" t="str">
        <f t="shared" si="2"/>
        <v/>
      </c>
      <c r="W14" t="str">
        <f t="shared" si="8"/>
        <v/>
      </c>
      <c r="X14" s="1196" t="str">
        <f t="shared" si="9"/>
        <v/>
      </c>
      <c r="AJ14" s="1196" t="str">
        <f t="shared" si="10"/>
        <v/>
      </c>
      <c r="AM14" s="1198"/>
      <c r="AN14" s="1198"/>
      <c r="AO14" s="1196" t="e">
        <f t="shared" ca="1" si="11"/>
        <v>#REF!</v>
      </c>
      <c r="AP14" s="1196" t="e">
        <f t="shared" ca="1" si="12"/>
        <v>#REF!</v>
      </c>
      <c r="AQ14" s="1196" t="e">
        <f t="shared" ca="1" si="13"/>
        <v>#REF!</v>
      </c>
      <c r="AR14" s="1196" t="e">
        <f t="shared" ca="1" si="14"/>
        <v>#REF!</v>
      </c>
      <c r="AS14" s="1196" t="e">
        <f t="shared" ca="1" si="15"/>
        <v>#REF!</v>
      </c>
      <c r="AT14" s="1196" t="e">
        <f t="shared" ca="1" si="16"/>
        <v>#REF!</v>
      </c>
      <c r="AZ14" t="s">
        <v>2291</v>
      </c>
      <c r="BA14" s="316" t="e">
        <f ca="1">+SUM(BA4:BA12)</f>
        <v>#REF!</v>
      </c>
      <c r="BB14" s="316" t="e">
        <f ca="1">+SUM(BB4:BB12)</f>
        <v>#REF!</v>
      </c>
    </row>
    <row r="15" spans="1:54" ht="43.5" x14ac:dyDescent="0.35">
      <c r="A15" t="str">
        <f t="shared" si="5"/>
        <v>NO</v>
      </c>
      <c r="B15" t="str">
        <f t="shared" si="5"/>
        <v>NO</v>
      </c>
      <c r="C15" t="str">
        <f t="shared" si="1"/>
        <v>NO</v>
      </c>
      <c r="D15" t="str">
        <f t="shared" si="1"/>
        <v>NO</v>
      </c>
      <c r="E15" t="str">
        <f t="shared" si="1"/>
        <v>NO</v>
      </c>
      <c r="F15" t="str">
        <f t="shared" si="1"/>
        <v/>
      </c>
      <c r="H15" s="1196" t="str">
        <f t="shared" si="6"/>
        <v/>
      </c>
      <c r="Q15" t="str">
        <f t="shared" si="7"/>
        <v>NO</v>
      </c>
      <c r="R15" t="str">
        <f t="shared" si="2"/>
        <v>NO</v>
      </c>
      <c r="S15" t="str">
        <f t="shared" si="2"/>
        <v>NO</v>
      </c>
      <c r="T15" t="str">
        <f t="shared" si="2"/>
        <v>NO</v>
      </c>
      <c r="U15" t="str">
        <f t="shared" si="2"/>
        <v>NO</v>
      </c>
      <c r="V15" t="str">
        <f t="shared" si="2"/>
        <v/>
      </c>
      <c r="W15" t="str">
        <f t="shared" si="8"/>
        <v/>
      </c>
      <c r="X15" s="1196" t="str">
        <f t="shared" si="9"/>
        <v/>
      </c>
      <c r="AJ15" s="1196" t="str">
        <f t="shared" si="10"/>
        <v/>
      </c>
      <c r="AM15" s="1198"/>
      <c r="AN15" s="1198"/>
      <c r="AO15" s="1196" t="e">
        <f t="shared" ca="1" si="11"/>
        <v>#REF!</v>
      </c>
      <c r="AP15" s="1196" t="e">
        <f t="shared" ca="1" si="12"/>
        <v>#REF!</v>
      </c>
      <c r="AQ15" s="1196" t="e">
        <f t="shared" ca="1" si="13"/>
        <v>#REF!</v>
      </c>
      <c r="AR15" s="1196" t="e">
        <f t="shared" ca="1" si="14"/>
        <v>#REF!</v>
      </c>
      <c r="AS15" s="1196" t="e">
        <f t="shared" ca="1" si="15"/>
        <v>#REF!</v>
      </c>
      <c r="AT15" s="1196" t="e">
        <f t="shared" ca="1" si="16"/>
        <v>#REF!</v>
      </c>
      <c r="AV15" s="1216"/>
      <c r="AW15" s="264"/>
      <c r="AZ15" s="110" t="s">
        <v>2292</v>
      </c>
      <c r="BA15" s="1212">
        <f ca="1">+IF(Anagrafica!$G$2="Capo II",+'2 SAL VNQ TAB'!$O$11,'2 SAL VNQ TAB'!$O$9)</f>
        <v>0</v>
      </c>
      <c r="BB15" s="264">
        <f ca="1">+IF(Anagrafica!$G$2="Capo II",+'2 SAL VNQ TAB'!$N$11,'2 SAL VNQ TAB'!$N$9)</f>
        <v>0</v>
      </c>
    </row>
    <row r="16" spans="1:54" x14ac:dyDescent="0.35">
      <c r="A16" t="str">
        <f t="shared" si="5"/>
        <v>NO</v>
      </c>
      <c r="B16" t="str">
        <f t="shared" si="5"/>
        <v>NO</v>
      </c>
      <c r="C16" t="str">
        <f t="shared" si="1"/>
        <v>NO</v>
      </c>
      <c r="D16" t="str">
        <f t="shared" si="1"/>
        <v>NO</v>
      </c>
      <c r="E16" t="str">
        <f t="shared" si="1"/>
        <v>NO</v>
      </c>
      <c r="F16" t="str">
        <f t="shared" si="1"/>
        <v/>
      </c>
      <c r="H16" s="1196" t="str">
        <f t="shared" si="6"/>
        <v/>
      </c>
      <c r="Q16" t="str">
        <f t="shared" si="7"/>
        <v>NO</v>
      </c>
      <c r="R16" t="str">
        <f t="shared" si="2"/>
        <v>NO</v>
      </c>
      <c r="S16" t="str">
        <f t="shared" si="2"/>
        <v>NO</v>
      </c>
      <c r="T16" t="str">
        <f t="shared" si="2"/>
        <v>NO</v>
      </c>
      <c r="U16" t="str">
        <f t="shared" si="2"/>
        <v>NO</v>
      </c>
      <c r="V16" t="str">
        <f t="shared" si="2"/>
        <v/>
      </c>
      <c r="W16" t="str">
        <f t="shared" si="8"/>
        <v/>
      </c>
      <c r="X16" s="1196" t="str">
        <f t="shared" si="9"/>
        <v/>
      </c>
      <c r="AJ16" s="1196" t="str">
        <f t="shared" si="10"/>
        <v/>
      </c>
      <c r="AM16" s="1198"/>
      <c r="AN16" s="1198"/>
      <c r="AO16" s="1196" t="e">
        <f t="shared" ca="1" si="11"/>
        <v>#REF!</v>
      </c>
      <c r="AP16" s="1196" t="e">
        <f t="shared" ca="1" si="12"/>
        <v>#REF!</v>
      </c>
      <c r="AQ16" s="1196" t="e">
        <f t="shared" ca="1" si="13"/>
        <v>#REF!</v>
      </c>
      <c r="AR16" s="1196" t="e">
        <f t="shared" ca="1" si="14"/>
        <v>#REF!</v>
      </c>
      <c r="AS16" s="1196" t="e">
        <f t="shared" ca="1" si="15"/>
        <v>#REF!</v>
      </c>
      <c r="AT16" s="1196" t="e">
        <f t="shared" ca="1" si="16"/>
        <v>#REF!</v>
      </c>
    </row>
    <row r="17" spans="1:54" x14ac:dyDescent="0.35">
      <c r="A17" t="str">
        <f t="shared" si="5"/>
        <v>NO</v>
      </c>
      <c r="B17" t="str">
        <f t="shared" si="5"/>
        <v>NO</v>
      </c>
      <c r="C17" t="str">
        <f t="shared" si="1"/>
        <v>NO</v>
      </c>
      <c r="D17" t="str">
        <f t="shared" si="1"/>
        <v>NO</v>
      </c>
      <c r="E17" t="str">
        <f t="shared" si="1"/>
        <v>NO</v>
      </c>
      <c r="F17" t="str">
        <f t="shared" si="1"/>
        <v/>
      </c>
      <c r="H17" s="1196" t="str">
        <f t="shared" si="6"/>
        <v/>
      </c>
      <c r="Q17" t="str">
        <f t="shared" si="7"/>
        <v>NO</v>
      </c>
      <c r="R17" t="str">
        <f t="shared" si="2"/>
        <v>NO</v>
      </c>
      <c r="S17" t="str">
        <f t="shared" si="2"/>
        <v>NO</v>
      </c>
      <c r="T17" t="str">
        <f t="shared" si="2"/>
        <v>NO</v>
      </c>
      <c r="U17" t="str">
        <f t="shared" si="2"/>
        <v>NO</v>
      </c>
      <c r="V17" t="str">
        <f t="shared" si="2"/>
        <v/>
      </c>
      <c r="W17" t="str">
        <f t="shared" si="8"/>
        <v/>
      </c>
      <c r="X17" s="1196" t="str">
        <f t="shared" si="9"/>
        <v/>
      </c>
      <c r="AJ17" s="1196" t="str">
        <f t="shared" si="10"/>
        <v/>
      </c>
      <c r="AM17" s="1198"/>
      <c r="AN17" s="1198"/>
      <c r="AO17" s="1196" t="e">
        <f t="shared" ca="1" si="11"/>
        <v>#REF!</v>
      </c>
      <c r="AP17" s="1196" t="e">
        <f t="shared" ca="1" si="12"/>
        <v>#REF!</v>
      </c>
      <c r="AQ17" s="1196" t="e">
        <f t="shared" ca="1" si="13"/>
        <v>#REF!</v>
      </c>
      <c r="AR17" s="1196" t="e">
        <f t="shared" ca="1" si="14"/>
        <v>#REF!</v>
      </c>
      <c r="AS17" s="1196" t="e">
        <f t="shared" ca="1" si="15"/>
        <v>#REF!</v>
      </c>
      <c r="AT17" s="1196" t="e">
        <f t="shared" ca="1" si="16"/>
        <v>#REF!</v>
      </c>
      <c r="AZ17" t="s">
        <v>2301</v>
      </c>
      <c r="BA17" s="264" t="e">
        <f ca="1">IF(+BA15-BA14&lt;0,0,+BA15-BA14)</f>
        <v>#REF!</v>
      </c>
      <c r="BB17" s="264" t="e">
        <f ca="1">IF(+BB15-BB14&lt;0,0,+BB15-BB14)</f>
        <v>#REF!</v>
      </c>
    </row>
    <row r="18" spans="1:54" x14ac:dyDescent="0.35">
      <c r="A18" t="str">
        <f t="shared" si="5"/>
        <v>NO</v>
      </c>
      <c r="B18" t="str">
        <f t="shared" si="5"/>
        <v>NO</v>
      </c>
      <c r="C18" t="str">
        <f t="shared" si="1"/>
        <v>NO</v>
      </c>
      <c r="D18" t="str">
        <f t="shared" si="1"/>
        <v>NO</v>
      </c>
      <c r="E18" t="str">
        <f t="shared" si="1"/>
        <v>NO</v>
      </c>
      <c r="F18" t="str">
        <f t="shared" si="1"/>
        <v/>
      </c>
      <c r="H18" s="1196" t="str">
        <f t="shared" si="6"/>
        <v/>
      </c>
      <c r="Q18" t="str">
        <f t="shared" si="7"/>
        <v>NO</v>
      </c>
      <c r="R18" t="str">
        <f t="shared" si="2"/>
        <v>NO</v>
      </c>
      <c r="S18" t="str">
        <f t="shared" si="2"/>
        <v>NO</v>
      </c>
      <c r="T18" t="str">
        <f t="shared" si="2"/>
        <v>NO</v>
      </c>
      <c r="U18" t="str">
        <f t="shared" si="2"/>
        <v>NO</v>
      </c>
      <c r="V18" t="str">
        <f t="shared" si="2"/>
        <v/>
      </c>
      <c r="W18" t="str">
        <f t="shared" si="8"/>
        <v/>
      </c>
      <c r="X18" s="1196" t="str">
        <f t="shared" si="9"/>
        <v/>
      </c>
      <c r="AJ18" s="1196" t="str">
        <f t="shared" si="10"/>
        <v/>
      </c>
      <c r="AM18" s="1198"/>
      <c r="AN18" s="1198"/>
      <c r="AO18" s="1196" t="e">
        <f t="shared" ca="1" si="11"/>
        <v>#REF!</v>
      </c>
      <c r="AP18" s="1196" t="e">
        <f t="shared" ca="1" si="12"/>
        <v>#REF!</v>
      </c>
      <c r="AQ18" s="1196" t="e">
        <f t="shared" ca="1" si="13"/>
        <v>#REF!</v>
      </c>
      <c r="AR18" s="1196" t="e">
        <f t="shared" ca="1" si="14"/>
        <v>#REF!</v>
      </c>
      <c r="AS18" s="1196" t="e">
        <f t="shared" ca="1" si="15"/>
        <v>#REF!</v>
      </c>
      <c r="AT18" s="1196" t="e">
        <f t="shared" ca="1" si="16"/>
        <v>#REF!</v>
      </c>
    </row>
    <row r="19" spans="1:54" x14ac:dyDescent="0.35">
      <c r="A19" t="str">
        <f t="shared" si="5"/>
        <v>NO</v>
      </c>
      <c r="B19" t="str">
        <f t="shared" si="5"/>
        <v>NO</v>
      </c>
      <c r="C19" t="str">
        <f t="shared" si="5"/>
        <v>NO</v>
      </c>
      <c r="D19" t="str">
        <f t="shared" si="5"/>
        <v>NO</v>
      </c>
      <c r="E19" t="str">
        <f t="shared" si="5"/>
        <v>NO</v>
      </c>
      <c r="F19" t="str">
        <f t="shared" si="5"/>
        <v/>
      </c>
      <c r="H19" s="1196" t="str">
        <f t="shared" si="6"/>
        <v/>
      </c>
      <c r="Q19" t="str">
        <f t="shared" si="7"/>
        <v>NO</v>
      </c>
      <c r="R19" t="str">
        <f t="shared" si="7"/>
        <v>NO</v>
      </c>
      <c r="S19" t="str">
        <f t="shared" si="7"/>
        <v>NO</v>
      </c>
      <c r="T19" t="str">
        <f t="shared" si="7"/>
        <v>NO</v>
      </c>
      <c r="U19" t="str">
        <f t="shared" si="7"/>
        <v>NO</v>
      </c>
      <c r="V19" t="str">
        <f t="shared" si="7"/>
        <v/>
      </c>
      <c r="W19" t="str">
        <f t="shared" si="8"/>
        <v/>
      </c>
      <c r="X19" s="1196" t="str">
        <f t="shared" si="9"/>
        <v/>
      </c>
      <c r="AJ19" s="1196" t="str">
        <f t="shared" si="10"/>
        <v/>
      </c>
      <c r="AM19" s="1198"/>
      <c r="AN19" s="1198"/>
      <c r="AO19" s="1196" t="e">
        <f t="shared" ca="1" si="11"/>
        <v>#REF!</v>
      </c>
      <c r="AP19" s="1196" t="e">
        <f t="shared" ca="1" si="12"/>
        <v>#REF!</v>
      </c>
      <c r="AQ19" s="1196" t="e">
        <f t="shared" ca="1" si="13"/>
        <v>#REF!</v>
      </c>
      <c r="AR19" s="1196" t="e">
        <f t="shared" ca="1" si="14"/>
        <v>#REF!</v>
      </c>
      <c r="AS19" s="1196" t="e">
        <f t="shared" ca="1" si="15"/>
        <v>#REF!</v>
      </c>
      <c r="AT19" s="1196" t="e">
        <f t="shared" ca="1" si="16"/>
        <v>#REF!</v>
      </c>
      <c r="AZ19" t="s">
        <v>2302</v>
      </c>
      <c r="BA19" s="264" t="e">
        <f ca="1">+BA17-'2 SAL VNQ'!AL24</f>
        <v>#REF!</v>
      </c>
      <c r="BB19" s="264" t="e">
        <f ca="1">+BB17-'2 SAL VNQ'!AM24</f>
        <v>#REF!</v>
      </c>
    </row>
    <row r="20" spans="1:54" x14ac:dyDescent="0.35">
      <c r="A20" t="str">
        <f t="shared" si="5"/>
        <v>NO</v>
      </c>
      <c r="B20" t="str">
        <f t="shared" si="5"/>
        <v>NO</v>
      </c>
      <c r="C20" t="str">
        <f t="shared" si="5"/>
        <v>NO</v>
      </c>
      <c r="D20" t="str">
        <f t="shared" si="5"/>
        <v>NO</v>
      </c>
      <c r="E20" t="str">
        <f t="shared" si="5"/>
        <v>NO</v>
      </c>
      <c r="F20" t="str">
        <f t="shared" si="5"/>
        <v/>
      </c>
      <c r="H20" s="1196" t="str">
        <f t="shared" si="6"/>
        <v/>
      </c>
      <c r="Q20" t="str">
        <f t="shared" si="7"/>
        <v>NO</v>
      </c>
      <c r="R20" t="str">
        <f t="shared" si="7"/>
        <v>NO</v>
      </c>
      <c r="S20" t="str">
        <f t="shared" si="7"/>
        <v>NO</v>
      </c>
      <c r="T20" t="str">
        <f t="shared" si="7"/>
        <v>NO</v>
      </c>
      <c r="U20" t="str">
        <f t="shared" si="7"/>
        <v>NO</v>
      </c>
      <c r="V20" t="str">
        <f t="shared" si="7"/>
        <v/>
      </c>
      <c r="W20" t="str">
        <f t="shared" si="8"/>
        <v/>
      </c>
      <c r="X20" s="1196" t="str">
        <f t="shared" si="9"/>
        <v/>
      </c>
      <c r="AJ20" s="1196" t="str">
        <f t="shared" si="10"/>
        <v/>
      </c>
    </row>
    <row r="21" spans="1:54" x14ac:dyDescent="0.35">
      <c r="A21" t="str">
        <f t="shared" si="5"/>
        <v>NO</v>
      </c>
      <c r="B21" t="str">
        <f t="shared" si="5"/>
        <v>NO</v>
      </c>
      <c r="C21" t="str">
        <f t="shared" si="5"/>
        <v>NO</v>
      </c>
      <c r="D21" t="str">
        <f t="shared" si="5"/>
        <v>NO</v>
      </c>
      <c r="E21" t="str">
        <f t="shared" si="5"/>
        <v>NO</v>
      </c>
      <c r="F21" t="str">
        <f t="shared" si="5"/>
        <v/>
      </c>
      <c r="H21" s="1196" t="str">
        <f t="shared" si="6"/>
        <v/>
      </c>
      <c r="Q21" t="str">
        <f t="shared" si="7"/>
        <v>NO</v>
      </c>
      <c r="R21" t="str">
        <f t="shared" si="7"/>
        <v>NO</v>
      </c>
      <c r="S21" t="str">
        <f t="shared" si="7"/>
        <v>NO</v>
      </c>
      <c r="T21" t="str">
        <f t="shared" si="7"/>
        <v>NO</v>
      </c>
      <c r="U21" t="str">
        <f t="shared" si="7"/>
        <v>NO</v>
      </c>
      <c r="V21" t="str">
        <f t="shared" si="7"/>
        <v/>
      </c>
      <c r="W21" t="str">
        <f t="shared" si="8"/>
        <v/>
      </c>
      <c r="X21" s="1196" t="str">
        <f t="shared" si="9"/>
        <v/>
      </c>
      <c r="AJ21" s="1196" t="str">
        <f t="shared" si="10"/>
        <v/>
      </c>
      <c r="BA21" t="s">
        <v>2248</v>
      </c>
      <c r="BB21" t="s">
        <v>2249</v>
      </c>
    </row>
    <row r="22" spans="1:54" x14ac:dyDescent="0.35">
      <c r="A22" t="str">
        <f t="shared" si="5"/>
        <v>NO</v>
      </c>
      <c r="B22" t="str">
        <f t="shared" si="5"/>
        <v>NO</v>
      </c>
      <c r="C22" t="str">
        <f t="shared" si="5"/>
        <v>NO</v>
      </c>
      <c r="D22" t="str">
        <f t="shared" si="5"/>
        <v>NO</v>
      </c>
      <c r="E22" t="str">
        <f t="shared" si="5"/>
        <v>NO</v>
      </c>
      <c r="F22" t="str">
        <f t="shared" si="5"/>
        <v/>
      </c>
      <c r="H22" s="1196" t="str">
        <f t="shared" si="6"/>
        <v/>
      </c>
      <c r="Q22" t="str">
        <f t="shared" si="7"/>
        <v>NO</v>
      </c>
      <c r="R22" t="str">
        <f t="shared" si="7"/>
        <v>NO</v>
      </c>
      <c r="S22" t="str">
        <f t="shared" si="7"/>
        <v>NO</v>
      </c>
      <c r="T22" t="str">
        <f t="shared" si="7"/>
        <v>NO</v>
      </c>
      <c r="U22" t="str">
        <f t="shared" si="7"/>
        <v>NO</v>
      </c>
      <c r="V22" t="str">
        <f t="shared" si="7"/>
        <v/>
      </c>
      <c r="W22" t="str">
        <f t="shared" si="8"/>
        <v/>
      </c>
      <c r="X22" s="1196" t="str">
        <f t="shared" si="9"/>
        <v/>
      </c>
      <c r="AJ22" s="1196" t="str">
        <f t="shared" si="10"/>
        <v/>
      </c>
      <c r="AZ22" t="s">
        <v>2303</v>
      </c>
      <c r="BA22" s="264">
        <f ca="1">+IF(Anagrafica!$G$2="Capo II",+'3 SAL'!H137,+'3 SAL'!H133)</f>
        <v>0</v>
      </c>
      <c r="BB22" s="264">
        <f ca="1">+IF(Anagrafica!$G$2="Capo II",'3 SAL'!$I$137,'3 SAL'!$I$133)</f>
        <v>0</v>
      </c>
    </row>
    <row r="23" spans="1:54" x14ac:dyDescent="0.35">
      <c r="A23" t="str">
        <f t="shared" si="5"/>
        <v>NO</v>
      </c>
      <c r="B23" t="str">
        <f t="shared" si="5"/>
        <v>NO</v>
      </c>
      <c r="C23" t="str">
        <f t="shared" si="5"/>
        <v>NO</v>
      </c>
      <c r="D23" t="str">
        <f t="shared" si="5"/>
        <v>NO</v>
      </c>
      <c r="E23" t="str">
        <f t="shared" si="5"/>
        <v>NO</v>
      </c>
      <c r="F23" t="str">
        <f t="shared" si="5"/>
        <v/>
      </c>
      <c r="H23" s="1196" t="str">
        <f t="shared" si="6"/>
        <v/>
      </c>
      <c r="Q23" t="str">
        <f t="shared" si="7"/>
        <v>NO</v>
      </c>
      <c r="R23" t="str">
        <f t="shared" si="7"/>
        <v>NO</v>
      </c>
      <c r="S23" t="str">
        <f t="shared" si="7"/>
        <v>NO</v>
      </c>
      <c r="T23" t="str">
        <f t="shared" si="7"/>
        <v>NO</v>
      </c>
      <c r="U23" t="str">
        <f t="shared" si="7"/>
        <v>NO</v>
      </c>
      <c r="V23" t="str">
        <f t="shared" si="7"/>
        <v/>
      </c>
      <c r="W23" t="str">
        <f t="shared" si="8"/>
        <v/>
      </c>
      <c r="X23" s="1196" t="str">
        <f t="shared" si="9"/>
        <v/>
      </c>
      <c r="AJ23" s="1196" t="str">
        <f t="shared" si="10"/>
        <v/>
      </c>
    </row>
    <row r="24" spans="1:54" x14ac:dyDescent="0.35">
      <c r="A24" t="str">
        <f t="shared" si="5"/>
        <v>NO</v>
      </c>
      <c r="B24" t="str">
        <f t="shared" si="5"/>
        <v>NO</v>
      </c>
      <c r="C24" t="str">
        <f t="shared" si="5"/>
        <v>NO</v>
      </c>
      <c r="D24" t="str">
        <f t="shared" si="5"/>
        <v>NO</v>
      </c>
      <c r="E24" t="str">
        <f t="shared" si="5"/>
        <v>NO</v>
      </c>
      <c r="F24" t="str">
        <f t="shared" si="5"/>
        <v/>
      </c>
      <c r="H24" s="1196" t="str">
        <f t="shared" si="6"/>
        <v/>
      </c>
      <c r="Q24" t="str">
        <f t="shared" si="7"/>
        <v>NO</v>
      </c>
      <c r="R24" t="str">
        <f t="shared" si="7"/>
        <v>NO</v>
      </c>
      <c r="S24" t="str">
        <f t="shared" si="7"/>
        <v>NO</v>
      </c>
      <c r="T24" t="str">
        <f t="shared" si="7"/>
        <v>NO</v>
      </c>
      <c r="U24" t="str">
        <f t="shared" si="7"/>
        <v>NO</v>
      </c>
      <c r="V24" t="str">
        <f t="shared" si="7"/>
        <v/>
      </c>
      <c r="W24" t="str">
        <f t="shared" si="8"/>
        <v/>
      </c>
      <c r="X24" s="1196" t="str">
        <f t="shared" si="9"/>
        <v/>
      </c>
      <c r="AJ24" s="1196" t="str">
        <f t="shared" si="10"/>
        <v/>
      </c>
      <c r="AZ24" t="s">
        <v>2304</v>
      </c>
      <c r="BA24" s="264" t="e">
        <f ca="1">BA22-((IF(BB19&gt;BB22,(BB19-BB22),0))+BA19)</f>
        <v>#REF!</v>
      </c>
      <c r="BB24" t="e">
        <f ca="1">IF(BB19&gt;BB22,0,BB22-BB19)</f>
        <v>#REF!</v>
      </c>
    </row>
    <row r="25" spans="1:54" x14ac:dyDescent="0.35">
      <c r="A25" t="str">
        <f t="shared" si="5"/>
        <v>NO</v>
      </c>
      <c r="B25" t="str">
        <f t="shared" si="5"/>
        <v>NO</v>
      </c>
      <c r="C25" t="str">
        <f t="shared" si="5"/>
        <v>NO</v>
      </c>
      <c r="D25" t="str">
        <f t="shared" si="5"/>
        <v>NO</v>
      </c>
      <c r="E25" t="str">
        <f t="shared" si="5"/>
        <v>NO</v>
      </c>
      <c r="F25" t="str">
        <f t="shared" si="5"/>
        <v/>
      </c>
      <c r="H25" s="1196" t="str">
        <f t="shared" si="6"/>
        <v/>
      </c>
      <c r="Q25" t="str">
        <f t="shared" si="7"/>
        <v>NO</v>
      </c>
      <c r="R25" t="str">
        <f t="shared" si="7"/>
        <v>NO</v>
      </c>
      <c r="S25" t="str">
        <f t="shared" si="7"/>
        <v>NO</v>
      </c>
      <c r="T25" t="str">
        <f t="shared" si="7"/>
        <v>NO</v>
      </c>
      <c r="U25" t="str">
        <f t="shared" si="7"/>
        <v>NO</v>
      </c>
      <c r="V25" t="str">
        <f t="shared" si="7"/>
        <v/>
      </c>
      <c r="W25" t="str">
        <f t="shared" si="8"/>
        <v/>
      </c>
      <c r="X25" s="1196" t="str">
        <f t="shared" si="9"/>
        <v/>
      </c>
      <c r="AJ25" s="1196" t="str">
        <f t="shared" si="10"/>
        <v/>
      </c>
    </row>
    <row r="26" spans="1:54" x14ac:dyDescent="0.35">
      <c r="A26" t="str">
        <f t="shared" si="5"/>
        <v>NO</v>
      </c>
      <c r="B26" t="str">
        <f t="shared" si="5"/>
        <v>NO</v>
      </c>
      <c r="C26" t="str">
        <f t="shared" si="5"/>
        <v>NO</v>
      </c>
      <c r="D26" t="str">
        <f t="shared" si="5"/>
        <v>NO</v>
      </c>
      <c r="E26" t="str">
        <f t="shared" si="5"/>
        <v>NO</v>
      </c>
      <c r="F26" t="str">
        <f t="shared" si="5"/>
        <v/>
      </c>
      <c r="H26" s="1196" t="str">
        <f t="shared" si="6"/>
        <v/>
      </c>
      <c r="Q26" t="str">
        <f t="shared" si="7"/>
        <v>NO</v>
      </c>
      <c r="R26" t="str">
        <f t="shared" si="7"/>
        <v>NO</v>
      </c>
      <c r="S26" t="str">
        <f t="shared" si="7"/>
        <v>NO</v>
      </c>
      <c r="T26" t="str">
        <f t="shared" si="7"/>
        <v>NO</v>
      </c>
      <c r="U26" t="str">
        <f t="shared" si="7"/>
        <v>NO</v>
      </c>
      <c r="V26" t="str">
        <f t="shared" si="7"/>
        <v/>
      </c>
      <c r="W26" t="str">
        <f t="shared" si="8"/>
        <v/>
      </c>
      <c r="X26" s="1196" t="str">
        <f t="shared" si="9"/>
        <v/>
      </c>
      <c r="AJ26" s="1196" t="str">
        <f t="shared" si="10"/>
        <v/>
      </c>
      <c r="AZ26" t="s">
        <v>2305</v>
      </c>
      <c r="BA26" s="264">
        <f ca="1">+IF(BA22=0,0,+IF(BB22&gt;BB19,0,BB19-BB22))</f>
        <v>0</v>
      </c>
      <c r="BB26" s="264">
        <f ca="1">-BA26</f>
        <v>0</v>
      </c>
    </row>
    <row r="27" spans="1:54" x14ac:dyDescent="0.35">
      <c r="A27" t="str">
        <f t="shared" si="5"/>
        <v>NO</v>
      </c>
      <c r="B27" t="str">
        <f t="shared" si="5"/>
        <v>NO</v>
      </c>
      <c r="C27" t="str">
        <f t="shared" si="5"/>
        <v>NO</v>
      </c>
      <c r="D27" t="str">
        <f t="shared" si="5"/>
        <v>NO</v>
      </c>
      <c r="E27" t="str">
        <f t="shared" si="5"/>
        <v>NO</v>
      </c>
      <c r="F27" t="str">
        <f t="shared" si="5"/>
        <v/>
      </c>
      <c r="H27" s="1196" t="str">
        <f t="shared" si="6"/>
        <v/>
      </c>
      <c r="Q27" t="str">
        <f t="shared" si="7"/>
        <v>NO</v>
      </c>
      <c r="R27" t="str">
        <f t="shared" si="7"/>
        <v>NO</v>
      </c>
      <c r="S27" t="str">
        <f t="shared" si="7"/>
        <v>NO</v>
      </c>
      <c r="T27" t="str">
        <f t="shared" si="7"/>
        <v>NO</v>
      </c>
      <c r="U27" t="str">
        <f t="shared" si="7"/>
        <v>NO</v>
      </c>
      <c r="V27" t="str">
        <f t="shared" si="7"/>
        <v/>
      </c>
      <c r="W27" t="str">
        <f t="shared" si="8"/>
        <v/>
      </c>
      <c r="X27" s="1196" t="str">
        <f t="shared" si="9"/>
        <v/>
      </c>
      <c r="AJ27" s="1196" t="str">
        <f t="shared" si="10"/>
        <v/>
      </c>
    </row>
    <row r="28" spans="1:54" x14ac:dyDescent="0.35">
      <c r="A28" t="str">
        <f t="shared" si="5"/>
        <v>NO</v>
      </c>
      <c r="B28" t="str">
        <f t="shared" si="5"/>
        <v>NO</v>
      </c>
      <c r="C28" t="str">
        <f t="shared" si="5"/>
        <v>NO</v>
      </c>
      <c r="D28" t="str">
        <f t="shared" si="5"/>
        <v>NO</v>
      </c>
      <c r="E28" t="str">
        <f t="shared" si="5"/>
        <v>NO</v>
      </c>
      <c r="F28" t="str">
        <f t="shared" si="5"/>
        <v/>
      </c>
      <c r="H28" s="1196" t="str">
        <f t="shared" si="6"/>
        <v/>
      </c>
      <c r="Q28" t="str">
        <f t="shared" si="7"/>
        <v>NO</v>
      </c>
      <c r="R28" t="str">
        <f t="shared" si="7"/>
        <v>NO</v>
      </c>
      <c r="S28" t="str">
        <f t="shared" si="7"/>
        <v>NO</v>
      </c>
      <c r="T28" t="str">
        <f t="shared" si="7"/>
        <v>NO</v>
      </c>
      <c r="U28" t="str">
        <f t="shared" si="7"/>
        <v>NO</v>
      </c>
      <c r="V28" t="str">
        <f t="shared" si="7"/>
        <v/>
      </c>
      <c r="W28" t="str">
        <f t="shared" si="8"/>
        <v/>
      </c>
      <c r="X28" s="1196" t="str">
        <f t="shared" si="9"/>
        <v/>
      </c>
      <c r="AJ28" s="1196" t="str">
        <f t="shared" si="10"/>
        <v/>
      </c>
      <c r="BA28" s="264"/>
      <c r="BB28" s="264"/>
    </row>
    <row r="29" spans="1:54" x14ac:dyDescent="0.35">
      <c r="A29" t="str">
        <f t="shared" si="5"/>
        <v>NO</v>
      </c>
      <c r="B29" t="str">
        <f t="shared" si="5"/>
        <v>NO</v>
      </c>
      <c r="C29" t="str">
        <f t="shared" si="5"/>
        <v>NO</v>
      </c>
      <c r="D29" t="str">
        <f t="shared" si="5"/>
        <v>NO</v>
      </c>
      <c r="E29" t="str">
        <f t="shared" si="5"/>
        <v>NO</v>
      </c>
      <c r="F29" t="str">
        <f t="shared" si="5"/>
        <v/>
      </c>
      <c r="H29" s="1196" t="str">
        <f t="shared" si="6"/>
        <v/>
      </c>
      <c r="Q29" t="str">
        <f t="shared" si="7"/>
        <v>NO</v>
      </c>
      <c r="R29" t="str">
        <f t="shared" si="7"/>
        <v>NO</v>
      </c>
      <c r="S29" t="str">
        <f t="shared" si="7"/>
        <v>NO</v>
      </c>
      <c r="T29" t="str">
        <f t="shared" si="7"/>
        <v>NO</v>
      </c>
      <c r="U29" t="str">
        <f t="shared" si="7"/>
        <v>NO</v>
      </c>
      <c r="V29" t="str">
        <f t="shared" si="7"/>
        <v/>
      </c>
      <c r="W29" t="str">
        <f t="shared" si="8"/>
        <v/>
      </c>
      <c r="X29" s="1196" t="str">
        <f t="shared" si="9"/>
        <v/>
      </c>
      <c r="AJ29" s="1196" t="str">
        <f t="shared" si="10"/>
        <v/>
      </c>
    </row>
    <row r="30" spans="1:54" x14ac:dyDescent="0.35">
      <c r="A30" t="str">
        <f t="shared" si="5"/>
        <v>NO</v>
      </c>
      <c r="B30" t="str">
        <f t="shared" si="5"/>
        <v>NO</v>
      </c>
      <c r="C30" t="str">
        <f t="shared" si="5"/>
        <v>NO</v>
      </c>
      <c r="D30" t="str">
        <f t="shared" si="5"/>
        <v>NO</v>
      </c>
      <c r="E30" t="str">
        <f t="shared" si="5"/>
        <v>NO</v>
      </c>
      <c r="F30" t="str">
        <f t="shared" si="5"/>
        <v/>
      </c>
      <c r="H30" s="1196" t="str">
        <f t="shared" si="6"/>
        <v/>
      </c>
      <c r="Q30" t="str">
        <f t="shared" si="7"/>
        <v>NO</v>
      </c>
      <c r="R30" t="str">
        <f t="shared" si="7"/>
        <v>NO</v>
      </c>
      <c r="S30" t="str">
        <f t="shared" si="7"/>
        <v>NO</v>
      </c>
      <c r="T30" t="str">
        <f t="shared" si="7"/>
        <v>NO</v>
      </c>
      <c r="U30" t="str">
        <f t="shared" si="7"/>
        <v>NO</v>
      </c>
      <c r="V30" t="str">
        <f t="shared" si="7"/>
        <v/>
      </c>
      <c r="W30" t="str">
        <f t="shared" si="8"/>
        <v/>
      </c>
      <c r="X30" s="1196" t="str">
        <f t="shared" si="9"/>
        <v/>
      </c>
      <c r="AJ30" s="1196" t="str">
        <f t="shared" si="10"/>
        <v/>
      </c>
    </row>
    <row r="31" spans="1:54" x14ac:dyDescent="0.35">
      <c r="A31" t="str">
        <f t="shared" si="5"/>
        <v>NO</v>
      </c>
      <c r="B31" t="str">
        <f t="shared" si="5"/>
        <v>NO</v>
      </c>
      <c r="C31" t="str">
        <f t="shared" si="5"/>
        <v>NO</v>
      </c>
      <c r="D31" t="str">
        <f t="shared" si="5"/>
        <v>NO</v>
      </c>
      <c r="E31" t="str">
        <f t="shared" si="5"/>
        <v>NO</v>
      </c>
      <c r="F31" t="str">
        <f t="shared" si="5"/>
        <v/>
      </c>
      <c r="H31" s="1196" t="str">
        <f t="shared" si="6"/>
        <v/>
      </c>
      <c r="Q31" t="str">
        <f t="shared" si="7"/>
        <v>NO</v>
      </c>
      <c r="R31" t="str">
        <f t="shared" si="7"/>
        <v>NO</v>
      </c>
      <c r="S31" t="str">
        <f t="shared" si="7"/>
        <v>NO</v>
      </c>
      <c r="T31" t="str">
        <f t="shared" si="7"/>
        <v>NO</v>
      </c>
      <c r="U31" t="str">
        <f t="shared" si="7"/>
        <v>NO</v>
      </c>
      <c r="V31" t="str">
        <f t="shared" si="7"/>
        <v/>
      </c>
      <c r="W31" t="str">
        <f t="shared" si="8"/>
        <v/>
      </c>
      <c r="X31" s="1196" t="str">
        <f t="shared" si="9"/>
        <v/>
      </c>
      <c r="AJ31" s="1196" t="str">
        <f t="shared" si="10"/>
        <v/>
      </c>
    </row>
    <row r="32" spans="1:54" x14ac:dyDescent="0.35">
      <c r="A32" t="str">
        <f t="shared" si="5"/>
        <v>NO</v>
      </c>
      <c r="B32" t="str">
        <f t="shared" si="5"/>
        <v>NO</v>
      </c>
      <c r="C32" t="str">
        <f t="shared" si="5"/>
        <v>NO</v>
      </c>
      <c r="D32" t="str">
        <f t="shared" si="5"/>
        <v>NO</v>
      </c>
      <c r="E32" t="str">
        <f t="shared" si="5"/>
        <v>NO</v>
      </c>
      <c r="F32" t="str">
        <f t="shared" si="5"/>
        <v/>
      </c>
      <c r="H32" s="1196" t="str">
        <f t="shared" si="6"/>
        <v/>
      </c>
      <c r="Q32" t="str">
        <f t="shared" si="7"/>
        <v>NO</v>
      </c>
      <c r="R32" t="str">
        <f t="shared" si="7"/>
        <v>NO</v>
      </c>
      <c r="S32" t="str">
        <f t="shared" si="7"/>
        <v>NO</v>
      </c>
      <c r="T32" t="str">
        <f t="shared" si="7"/>
        <v>NO</v>
      </c>
      <c r="U32" t="str">
        <f t="shared" si="7"/>
        <v>NO</v>
      </c>
      <c r="V32" t="str">
        <f t="shared" si="7"/>
        <v/>
      </c>
      <c r="W32" t="str">
        <f t="shared" si="8"/>
        <v/>
      </c>
      <c r="X32" s="1196" t="str">
        <f t="shared" si="9"/>
        <v/>
      </c>
      <c r="AJ32" s="1196" t="str">
        <f t="shared" si="10"/>
        <v/>
      </c>
    </row>
    <row r="33" spans="1:36" x14ac:dyDescent="0.35">
      <c r="A33" t="str">
        <f t="shared" si="5"/>
        <v>NO</v>
      </c>
      <c r="B33" t="str">
        <f t="shared" si="5"/>
        <v>NO</v>
      </c>
      <c r="C33" t="str">
        <f t="shared" si="5"/>
        <v>NO</v>
      </c>
      <c r="D33" t="str">
        <f t="shared" si="5"/>
        <v>NO</v>
      </c>
      <c r="E33" t="str">
        <f t="shared" si="5"/>
        <v>NO</v>
      </c>
      <c r="F33" t="str">
        <f t="shared" si="5"/>
        <v/>
      </c>
      <c r="H33" s="1196" t="str">
        <f t="shared" si="6"/>
        <v/>
      </c>
      <c r="Q33" t="str">
        <f t="shared" si="7"/>
        <v>NO</v>
      </c>
      <c r="R33" t="str">
        <f t="shared" si="7"/>
        <v>NO</v>
      </c>
      <c r="S33" t="str">
        <f t="shared" si="7"/>
        <v>NO</v>
      </c>
      <c r="T33" t="str">
        <f t="shared" si="7"/>
        <v>NO</v>
      </c>
      <c r="U33" t="str">
        <f t="shared" si="7"/>
        <v>NO</v>
      </c>
      <c r="V33" t="str">
        <f t="shared" si="7"/>
        <v/>
      </c>
      <c r="W33" t="str">
        <f t="shared" si="8"/>
        <v/>
      </c>
      <c r="X33" s="1196" t="str">
        <f t="shared" si="9"/>
        <v/>
      </c>
      <c r="AJ33" s="1196" t="str">
        <f t="shared" si="10"/>
        <v/>
      </c>
    </row>
    <row r="34" spans="1:36" x14ac:dyDescent="0.35">
      <c r="A34" t="str">
        <f t="shared" si="5"/>
        <v>NO</v>
      </c>
      <c r="B34" t="str">
        <f t="shared" si="5"/>
        <v>NO</v>
      </c>
      <c r="C34" t="str">
        <f t="shared" si="5"/>
        <v>NO</v>
      </c>
      <c r="D34" t="str">
        <f t="shared" si="5"/>
        <v>NO</v>
      </c>
      <c r="E34" t="str">
        <f t="shared" si="5"/>
        <v>NO</v>
      </c>
      <c r="F34" t="str">
        <f t="shared" si="5"/>
        <v/>
      </c>
      <c r="H34" s="1196" t="str">
        <f t="shared" si="6"/>
        <v/>
      </c>
      <c r="Q34" t="str">
        <f t="shared" si="7"/>
        <v>NO</v>
      </c>
      <c r="R34" t="str">
        <f t="shared" si="7"/>
        <v>NO</v>
      </c>
      <c r="S34" t="str">
        <f t="shared" si="7"/>
        <v>NO</v>
      </c>
      <c r="T34" t="str">
        <f t="shared" si="7"/>
        <v>NO</v>
      </c>
      <c r="U34" t="str">
        <f t="shared" si="7"/>
        <v>NO</v>
      </c>
      <c r="V34" t="str">
        <f t="shared" si="7"/>
        <v/>
      </c>
      <c r="W34" t="str">
        <f t="shared" si="8"/>
        <v/>
      </c>
      <c r="X34" s="1196" t="str">
        <f t="shared" si="9"/>
        <v/>
      </c>
      <c r="AJ34" s="1196" t="str">
        <f t="shared" si="10"/>
        <v/>
      </c>
    </row>
    <row r="35" spans="1:36" x14ac:dyDescent="0.35">
      <c r="A35" t="str">
        <f t="shared" si="5"/>
        <v>NO</v>
      </c>
      <c r="B35" t="str">
        <f t="shared" si="5"/>
        <v>NO</v>
      </c>
      <c r="C35" t="str">
        <f t="shared" si="5"/>
        <v>NO</v>
      </c>
      <c r="D35" t="str">
        <f t="shared" si="5"/>
        <v>NO</v>
      </c>
      <c r="E35" t="str">
        <f t="shared" si="5"/>
        <v>NO</v>
      </c>
      <c r="F35" t="str">
        <f t="shared" si="5"/>
        <v/>
      </c>
      <c r="H35" s="1196" t="str">
        <f t="shared" si="6"/>
        <v/>
      </c>
      <c r="Q35" t="str">
        <f t="shared" si="7"/>
        <v>NO</v>
      </c>
      <c r="R35" t="str">
        <f t="shared" si="7"/>
        <v>NO</v>
      </c>
      <c r="S35" t="str">
        <f t="shared" si="7"/>
        <v>NO</v>
      </c>
      <c r="T35" t="str">
        <f t="shared" si="7"/>
        <v>NO</v>
      </c>
      <c r="U35" t="str">
        <f t="shared" si="7"/>
        <v>NO</v>
      </c>
      <c r="V35" t="str">
        <f t="shared" si="7"/>
        <v/>
      </c>
      <c r="W35" t="str">
        <f t="shared" si="8"/>
        <v/>
      </c>
      <c r="X35" s="1196" t="str">
        <f t="shared" si="9"/>
        <v/>
      </c>
      <c r="AJ35" s="1196" t="str">
        <f t="shared" si="10"/>
        <v/>
      </c>
    </row>
    <row r="36" spans="1:36" x14ac:dyDescent="0.35">
      <c r="A36" t="str">
        <f t="shared" si="5"/>
        <v>NO</v>
      </c>
      <c r="B36" t="str">
        <f t="shared" si="5"/>
        <v>NO</v>
      </c>
      <c r="C36" t="str">
        <f t="shared" si="5"/>
        <v>NO</v>
      </c>
      <c r="D36" t="str">
        <f t="shared" si="5"/>
        <v>NO</v>
      </c>
      <c r="E36" t="str">
        <f t="shared" si="5"/>
        <v>NO</v>
      </c>
      <c r="F36" t="str">
        <f t="shared" si="5"/>
        <v/>
      </c>
      <c r="H36" s="1196" t="str">
        <f t="shared" si="6"/>
        <v/>
      </c>
      <c r="Q36" t="str">
        <f t="shared" si="7"/>
        <v>NO</v>
      </c>
      <c r="R36" t="str">
        <f t="shared" si="7"/>
        <v>NO</v>
      </c>
      <c r="S36" t="str">
        <f t="shared" si="7"/>
        <v>NO</v>
      </c>
      <c r="T36" t="str">
        <f t="shared" si="7"/>
        <v>NO</v>
      </c>
      <c r="U36" t="str">
        <f t="shared" si="7"/>
        <v>NO</v>
      </c>
      <c r="V36" t="str">
        <f t="shared" si="7"/>
        <v/>
      </c>
      <c r="W36" t="str">
        <f t="shared" si="8"/>
        <v/>
      </c>
      <c r="X36" s="1196" t="str">
        <f t="shared" si="9"/>
        <v/>
      </c>
      <c r="AJ36" s="1196" t="str">
        <f t="shared" si="10"/>
        <v/>
      </c>
    </row>
    <row r="37" spans="1:36" x14ac:dyDescent="0.35">
      <c r="A37" t="str">
        <f t="shared" si="5"/>
        <v>NO</v>
      </c>
      <c r="B37" t="str">
        <f t="shared" si="5"/>
        <v>NO</v>
      </c>
      <c r="C37" t="str">
        <f t="shared" si="5"/>
        <v>NO</v>
      </c>
      <c r="D37" t="str">
        <f t="shared" si="5"/>
        <v>NO</v>
      </c>
      <c r="E37" t="str">
        <f t="shared" si="5"/>
        <v>NO</v>
      </c>
      <c r="F37" t="str">
        <f t="shared" si="5"/>
        <v/>
      </c>
      <c r="H37" s="1196" t="str">
        <f t="shared" si="6"/>
        <v/>
      </c>
      <c r="Q37" t="str">
        <f t="shared" si="7"/>
        <v>NO</v>
      </c>
      <c r="R37" t="str">
        <f t="shared" si="7"/>
        <v>NO</v>
      </c>
      <c r="S37" t="str">
        <f t="shared" si="7"/>
        <v>NO</v>
      </c>
      <c r="T37" t="str">
        <f t="shared" si="7"/>
        <v>NO</v>
      </c>
      <c r="U37" t="str">
        <f t="shared" si="7"/>
        <v>NO</v>
      </c>
      <c r="V37" t="str">
        <f t="shared" si="7"/>
        <v/>
      </c>
      <c r="W37" t="str">
        <f t="shared" si="8"/>
        <v/>
      </c>
      <c r="X37" s="1196" t="str">
        <f t="shared" si="9"/>
        <v/>
      </c>
      <c r="AJ37" s="1196" t="str">
        <f t="shared" si="10"/>
        <v/>
      </c>
    </row>
    <row r="38" spans="1:36" x14ac:dyDescent="0.35">
      <c r="A38" t="str">
        <f t="shared" si="5"/>
        <v>NO</v>
      </c>
      <c r="B38" t="str">
        <f t="shared" si="5"/>
        <v>NO</v>
      </c>
      <c r="C38" t="str">
        <f t="shared" si="5"/>
        <v>NO</v>
      </c>
      <c r="D38" t="str">
        <f t="shared" si="5"/>
        <v>NO</v>
      </c>
      <c r="E38" t="str">
        <f t="shared" si="5"/>
        <v>NO</v>
      </c>
      <c r="F38" t="str">
        <f t="shared" si="5"/>
        <v/>
      </c>
      <c r="H38" s="1196" t="str">
        <f t="shared" si="6"/>
        <v/>
      </c>
      <c r="Q38" t="str">
        <f t="shared" si="7"/>
        <v>NO</v>
      </c>
      <c r="R38" t="str">
        <f t="shared" si="7"/>
        <v>NO</v>
      </c>
      <c r="S38" t="str">
        <f t="shared" si="7"/>
        <v>NO</v>
      </c>
      <c r="T38" t="str">
        <f t="shared" si="7"/>
        <v>NO</v>
      </c>
      <c r="U38" t="str">
        <f t="shared" si="7"/>
        <v>NO</v>
      </c>
      <c r="V38" t="str">
        <f t="shared" si="7"/>
        <v/>
      </c>
      <c r="W38" t="str">
        <f t="shared" si="8"/>
        <v/>
      </c>
      <c r="X38" s="1196" t="str">
        <f t="shared" si="9"/>
        <v/>
      </c>
      <c r="AJ38" s="1196" t="str">
        <f t="shared" si="10"/>
        <v/>
      </c>
    </row>
    <row r="39" spans="1:36" x14ac:dyDescent="0.35">
      <c r="A39" t="str">
        <f t="shared" si="5"/>
        <v>NO</v>
      </c>
      <c r="B39" t="str">
        <f t="shared" si="5"/>
        <v>NO</v>
      </c>
      <c r="C39" t="str">
        <f t="shared" si="5"/>
        <v>NO</v>
      </c>
      <c r="D39" t="str">
        <f t="shared" si="5"/>
        <v>NO</v>
      </c>
      <c r="E39" t="str">
        <f t="shared" si="5"/>
        <v>NO</v>
      </c>
      <c r="F39" t="str">
        <f t="shared" si="5"/>
        <v/>
      </c>
      <c r="H39" s="1196" t="str">
        <f t="shared" si="6"/>
        <v/>
      </c>
      <c r="Q39" t="str">
        <f t="shared" si="7"/>
        <v>NO</v>
      </c>
      <c r="R39" t="str">
        <f t="shared" si="7"/>
        <v>NO</v>
      </c>
      <c r="S39" t="str">
        <f t="shared" si="7"/>
        <v>NO</v>
      </c>
      <c r="T39" t="str">
        <f t="shared" si="7"/>
        <v>NO</v>
      </c>
      <c r="U39" t="str">
        <f t="shared" si="7"/>
        <v>NO</v>
      </c>
      <c r="V39" t="str">
        <f t="shared" si="7"/>
        <v/>
      </c>
      <c r="W39" t="str">
        <f t="shared" si="8"/>
        <v/>
      </c>
      <c r="X39" s="1196" t="str">
        <f t="shared" si="9"/>
        <v/>
      </c>
      <c r="AJ39" s="1196" t="str">
        <f t="shared" si="10"/>
        <v/>
      </c>
    </row>
    <row r="40" spans="1:36" x14ac:dyDescent="0.35">
      <c r="A40" t="str">
        <f t="shared" si="5"/>
        <v>NO</v>
      </c>
      <c r="B40" t="str">
        <f t="shared" si="5"/>
        <v>NO</v>
      </c>
      <c r="C40" t="str">
        <f t="shared" si="5"/>
        <v>NO</v>
      </c>
      <c r="D40" t="str">
        <f t="shared" si="5"/>
        <v>NO</v>
      </c>
      <c r="E40" t="str">
        <f t="shared" si="5"/>
        <v>NO</v>
      </c>
      <c r="F40" t="str">
        <f t="shared" si="5"/>
        <v/>
      </c>
      <c r="H40" s="1196" t="str">
        <f t="shared" si="6"/>
        <v/>
      </c>
      <c r="Q40" t="str">
        <f t="shared" si="7"/>
        <v>NO</v>
      </c>
      <c r="R40" t="str">
        <f t="shared" si="7"/>
        <v>NO</v>
      </c>
      <c r="S40" t="str">
        <f t="shared" si="7"/>
        <v>NO</v>
      </c>
      <c r="T40" t="str">
        <f t="shared" si="7"/>
        <v>NO</v>
      </c>
      <c r="U40" t="str">
        <f t="shared" si="7"/>
        <v>NO</v>
      </c>
      <c r="V40" t="str">
        <f t="shared" si="7"/>
        <v/>
      </c>
      <c r="W40" t="str">
        <f t="shared" si="8"/>
        <v/>
      </c>
      <c r="X40" s="1196" t="str">
        <f t="shared" si="9"/>
        <v/>
      </c>
      <c r="AJ40" s="1196" t="str">
        <f t="shared" si="10"/>
        <v/>
      </c>
    </row>
    <row r="41" spans="1:36" x14ac:dyDescent="0.35">
      <c r="A41" t="str">
        <f t="shared" si="5"/>
        <v>NO</v>
      </c>
      <c r="B41" t="str">
        <f t="shared" si="5"/>
        <v>NO</v>
      </c>
      <c r="C41" t="str">
        <f t="shared" si="5"/>
        <v>NO</v>
      </c>
      <c r="D41" t="str">
        <f t="shared" si="5"/>
        <v>NO</v>
      </c>
      <c r="E41" t="str">
        <f t="shared" si="5"/>
        <v>NO</v>
      </c>
      <c r="F41" t="str">
        <f t="shared" si="5"/>
        <v/>
      </c>
      <c r="H41" s="1196" t="str">
        <f t="shared" si="6"/>
        <v/>
      </c>
      <c r="Q41" t="str">
        <f t="shared" si="7"/>
        <v>NO</v>
      </c>
      <c r="R41" t="str">
        <f t="shared" si="7"/>
        <v>NO</v>
      </c>
      <c r="S41" t="str">
        <f t="shared" si="7"/>
        <v>NO</v>
      </c>
      <c r="T41" t="str">
        <f t="shared" si="7"/>
        <v>NO</v>
      </c>
      <c r="U41" t="str">
        <f t="shared" si="7"/>
        <v>NO</v>
      </c>
      <c r="V41" t="str">
        <f t="shared" si="7"/>
        <v/>
      </c>
      <c r="W41" t="str">
        <f t="shared" si="8"/>
        <v/>
      </c>
      <c r="X41" s="1196" t="str">
        <f t="shared" si="9"/>
        <v/>
      </c>
      <c r="AJ41" s="1196" t="str">
        <f t="shared" si="10"/>
        <v/>
      </c>
    </row>
    <row r="42" spans="1:36" x14ac:dyDescent="0.35">
      <c r="A42" t="str">
        <f t="shared" si="5"/>
        <v>NO</v>
      </c>
      <c r="B42" t="str">
        <f t="shared" si="5"/>
        <v>NO</v>
      </c>
      <c r="C42" t="str">
        <f t="shared" si="5"/>
        <v>NO</v>
      </c>
      <c r="D42" t="str">
        <f t="shared" si="5"/>
        <v>NO</v>
      </c>
      <c r="E42" t="str">
        <f t="shared" si="5"/>
        <v>NO</v>
      </c>
      <c r="F42" t="str">
        <f t="shared" si="5"/>
        <v/>
      </c>
      <c r="H42" s="1196" t="str">
        <f t="shared" si="6"/>
        <v/>
      </c>
      <c r="Q42" t="str">
        <f t="shared" si="7"/>
        <v>NO</v>
      </c>
      <c r="R42" t="str">
        <f t="shared" si="7"/>
        <v>NO</v>
      </c>
      <c r="S42" t="str">
        <f t="shared" si="7"/>
        <v>NO</v>
      </c>
      <c r="T42" t="str">
        <f t="shared" si="7"/>
        <v>NO</v>
      </c>
      <c r="U42" t="str">
        <f t="shared" si="7"/>
        <v>NO</v>
      </c>
      <c r="V42" t="str">
        <f t="shared" si="7"/>
        <v/>
      </c>
      <c r="W42" t="str">
        <f t="shared" si="8"/>
        <v/>
      </c>
      <c r="X42" s="1196" t="str">
        <f t="shared" si="9"/>
        <v/>
      </c>
      <c r="AJ42" s="1196" t="str">
        <f t="shared" si="10"/>
        <v/>
      </c>
    </row>
    <row r="43" spans="1:36" x14ac:dyDescent="0.35">
      <c r="A43" t="str">
        <f t="shared" si="5"/>
        <v>NO</v>
      </c>
      <c r="B43" t="str">
        <f t="shared" si="5"/>
        <v>NO</v>
      </c>
      <c r="C43" t="str">
        <f t="shared" si="5"/>
        <v>NO</v>
      </c>
      <c r="D43" t="str">
        <f t="shared" si="5"/>
        <v>NO</v>
      </c>
      <c r="E43" t="str">
        <f t="shared" si="5"/>
        <v>NO</v>
      </c>
      <c r="F43" t="str">
        <f t="shared" si="5"/>
        <v/>
      </c>
      <c r="H43" s="1196" t="str">
        <f t="shared" si="6"/>
        <v/>
      </c>
      <c r="Q43" t="str">
        <f t="shared" si="7"/>
        <v>NO</v>
      </c>
      <c r="R43" t="str">
        <f t="shared" si="7"/>
        <v>NO</v>
      </c>
      <c r="S43" t="str">
        <f t="shared" si="7"/>
        <v>NO</v>
      </c>
      <c r="T43" t="str">
        <f t="shared" si="7"/>
        <v>NO</v>
      </c>
      <c r="U43" t="str">
        <f t="shared" si="7"/>
        <v>NO</v>
      </c>
      <c r="V43" t="str">
        <f t="shared" si="7"/>
        <v/>
      </c>
      <c r="W43" t="str">
        <f t="shared" si="8"/>
        <v/>
      </c>
      <c r="X43" s="1196" t="str">
        <f t="shared" si="9"/>
        <v/>
      </c>
      <c r="AJ43" s="1196" t="str">
        <f t="shared" si="10"/>
        <v/>
      </c>
    </row>
    <row r="44" spans="1:36" x14ac:dyDescent="0.35">
      <c r="A44" t="str">
        <f t="shared" si="5"/>
        <v>NO</v>
      </c>
      <c r="B44" t="str">
        <f t="shared" si="5"/>
        <v>NO</v>
      </c>
      <c r="C44" t="str">
        <f t="shared" si="5"/>
        <v>NO</v>
      </c>
      <c r="D44" t="str">
        <f t="shared" si="5"/>
        <v>NO</v>
      </c>
      <c r="E44" t="str">
        <f t="shared" si="5"/>
        <v>NO</v>
      </c>
      <c r="F44" t="str">
        <f t="shared" si="5"/>
        <v/>
      </c>
      <c r="H44" s="1196" t="str">
        <f t="shared" si="6"/>
        <v/>
      </c>
      <c r="Q44" t="str">
        <f t="shared" si="7"/>
        <v>NO</v>
      </c>
      <c r="R44" t="str">
        <f t="shared" si="7"/>
        <v>NO</v>
      </c>
      <c r="S44" t="str">
        <f t="shared" si="7"/>
        <v>NO</v>
      </c>
      <c r="T44" t="str">
        <f t="shared" si="7"/>
        <v>NO</v>
      </c>
      <c r="U44" t="str">
        <f t="shared" si="7"/>
        <v>NO</v>
      </c>
      <c r="V44" t="str">
        <f t="shared" si="7"/>
        <v/>
      </c>
      <c r="W44" t="str">
        <f t="shared" si="8"/>
        <v/>
      </c>
      <c r="X44" s="1196" t="str">
        <f t="shared" si="9"/>
        <v/>
      </c>
      <c r="AJ44" s="1196" t="str">
        <f t="shared" si="10"/>
        <v/>
      </c>
    </row>
    <row r="45" spans="1:36" x14ac:dyDescent="0.35">
      <c r="A45" t="str">
        <f t="shared" si="5"/>
        <v>NO</v>
      </c>
      <c r="B45" t="str">
        <f t="shared" si="5"/>
        <v>NO</v>
      </c>
      <c r="C45" t="str">
        <f t="shared" si="5"/>
        <v>NO</v>
      </c>
      <c r="D45" t="str">
        <f t="shared" si="5"/>
        <v>NO</v>
      </c>
      <c r="E45" t="str">
        <f t="shared" si="5"/>
        <v>NO</v>
      </c>
      <c r="F45" t="str">
        <f t="shared" si="5"/>
        <v/>
      </c>
      <c r="H45" s="1196" t="str">
        <f t="shared" si="6"/>
        <v/>
      </c>
      <c r="Q45" t="str">
        <f t="shared" si="7"/>
        <v>NO</v>
      </c>
      <c r="R45" t="str">
        <f t="shared" si="7"/>
        <v>NO</v>
      </c>
      <c r="S45" t="str">
        <f t="shared" si="7"/>
        <v>NO</v>
      </c>
      <c r="T45" t="str">
        <f t="shared" si="7"/>
        <v>NO</v>
      </c>
      <c r="U45" t="str">
        <f t="shared" si="7"/>
        <v>NO</v>
      </c>
      <c r="V45" t="str">
        <f t="shared" si="7"/>
        <v/>
      </c>
      <c r="W45" t="str">
        <f t="shared" si="8"/>
        <v/>
      </c>
      <c r="X45" s="1196" t="str">
        <f t="shared" si="9"/>
        <v/>
      </c>
      <c r="AJ45" s="1196" t="str">
        <f t="shared" si="10"/>
        <v/>
      </c>
    </row>
    <row r="46" spans="1:36" x14ac:dyDescent="0.35">
      <c r="A46" t="str">
        <f t="shared" si="5"/>
        <v>NO</v>
      </c>
      <c r="B46" t="str">
        <f t="shared" si="5"/>
        <v>NO</v>
      </c>
      <c r="C46" t="str">
        <f t="shared" si="5"/>
        <v>NO</v>
      </c>
      <c r="D46" t="str">
        <f t="shared" si="5"/>
        <v>NO</v>
      </c>
      <c r="E46" t="str">
        <f t="shared" si="5"/>
        <v>NO</v>
      </c>
      <c r="F46" t="str">
        <f t="shared" si="5"/>
        <v/>
      </c>
      <c r="H46" s="1196" t="str">
        <f t="shared" si="6"/>
        <v/>
      </c>
      <c r="Q46" t="str">
        <f t="shared" si="7"/>
        <v>NO</v>
      </c>
      <c r="R46" t="str">
        <f t="shared" si="7"/>
        <v>NO</v>
      </c>
      <c r="S46" t="str">
        <f t="shared" si="7"/>
        <v>NO</v>
      </c>
      <c r="T46" t="str">
        <f t="shared" si="7"/>
        <v>NO</v>
      </c>
      <c r="U46" t="str">
        <f t="shared" si="7"/>
        <v>NO</v>
      </c>
      <c r="V46" t="str">
        <f t="shared" si="7"/>
        <v/>
      </c>
      <c r="W46" t="str">
        <f t="shared" si="8"/>
        <v/>
      </c>
      <c r="X46" s="1196" t="str">
        <f t="shared" si="9"/>
        <v/>
      </c>
      <c r="AJ46" s="1196" t="str">
        <f t="shared" si="10"/>
        <v/>
      </c>
    </row>
    <row r="47" spans="1:36" x14ac:dyDescent="0.35">
      <c r="A47" t="str">
        <f t="shared" si="5"/>
        <v>NO</v>
      </c>
      <c r="B47" t="str">
        <f t="shared" si="5"/>
        <v>NO</v>
      </c>
      <c r="C47" t="str">
        <f t="shared" si="5"/>
        <v>NO</v>
      </c>
      <c r="D47" t="str">
        <f t="shared" si="5"/>
        <v>NO</v>
      </c>
      <c r="E47" t="str">
        <f t="shared" si="5"/>
        <v>NO</v>
      </c>
      <c r="F47" t="str">
        <f t="shared" si="5"/>
        <v/>
      </c>
      <c r="H47" s="1196" t="str">
        <f t="shared" si="6"/>
        <v/>
      </c>
      <c r="Q47" t="str">
        <f t="shared" si="7"/>
        <v>NO</v>
      </c>
      <c r="R47" t="str">
        <f t="shared" si="7"/>
        <v>NO</v>
      </c>
      <c r="S47" t="str">
        <f t="shared" si="7"/>
        <v>NO</v>
      </c>
      <c r="T47" t="str">
        <f t="shared" si="7"/>
        <v>NO</v>
      </c>
      <c r="U47" t="str">
        <f t="shared" si="7"/>
        <v>NO</v>
      </c>
      <c r="V47" t="str">
        <f t="shared" si="7"/>
        <v/>
      </c>
      <c r="W47" t="str">
        <f t="shared" si="8"/>
        <v/>
      </c>
      <c r="X47" s="1196" t="str">
        <f t="shared" si="9"/>
        <v/>
      </c>
      <c r="AJ47" s="1196" t="str">
        <f t="shared" si="10"/>
        <v/>
      </c>
    </row>
    <row r="48" spans="1:36" x14ac:dyDescent="0.35">
      <c r="A48" t="str">
        <f t="shared" si="5"/>
        <v>NO</v>
      </c>
      <c r="B48" t="str">
        <f t="shared" si="5"/>
        <v>NO</v>
      </c>
      <c r="C48" t="str">
        <f t="shared" si="5"/>
        <v>NO</v>
      </c>
      <c r="D48" t="str">
        <f t="shared" si="5"/>
        <v>NO</v>
      </c>
      <c r="E48" t="str">
        <f t="shared" si="5"/>
        <v>NO</v>
      </c>
      <c r="F48" t="str">
        <f t="shared" si="5"/>
        <v/>
      </c>
      <c r="H48" s="1196" t="str">
        <f t="shared" si="6"/>
        <v/>
      </c>
      <c r="Q48" t="str">
        <f t="shared" si="7"/>
        <v>NO</v>
      </c>
      <c r="R48" t="str">
        <f t="shared" si="7"/>
        <v>NO</v>
      </c>
      <c r="S48" t="str">
        <f t="shared" si="7"/>
        <v>NO</v>
      </c>
      <c r="T48" t="str">
        <f t="shared" si="7"/>
        <v>NO</v>
      </c>
      <c r="U48" t="str">
        <f t="shared" si="7"/>
        <v>NO</v>
      </c>
      <c r="V48" t="str">
        <f t="shared" si="7"/>
        <v/>
      </c>
      <c r="W48" t="str">
        <f t="shared" si="8"/>
        <v/>
      </c>
      <c r="X48" s="1196" t="str">
        <f t="shared" si="9"/>
        <v/>
      </c>
      <c r="AJ48" s="1196" t="str">
        <f t="shared" si="10"/>
        <v/>
      </c>
    </row>
    <row r="49" spans="1:36" x14ac:dyDescent="0.35">
      <c r="A49" t="str">
        <f t="shared" si="5"/>
        <v>NO</v>
      </c>
      <c r="B49" t="str">
        <f t="shared" si="5"/>
        <v>NO</v>
      </c>
      <c r="C49" t="str">
        <f t="shared" si="5"/>
        <v>NO</v>
      </c>
      <c r="D49" t="str">
        <f t="shared" si="5"/>
        <v>NO</v>
      </c>
      <c r="E49" t="str">
        <f t="shared" si="5"/>
        <v>NO</v>
      </c>
      <c r="F49" t="str">
        <f t="shared" si="5"/>
        <v/>
      </c>
      <c r="H49" s="1196" t="str">
        <f t="shared" si="6"/>
        <v/>
      </c>
      <c r="Q49" t="str">
        <f t="shared" si="7"/>
        <v>NO</v>
      </c>
      <c r="R49" t="str">
        <f t="shared" si="7"/>
        <v>NO</v>
      </c>
      <c r="S49" t="str">
        <f t="shared" si="7"/>
        <v>NO</v>
      </c>
      <c r="T49" t="str">
        <f t="shared" si="7"/>
        <v>NO</v>
      </c>
      <c r="U49" t="str">
        <f t="shared" si="7"/>
        <v>NO</v>
      </c>
      <c r="V49" t="str">
        <f t="shared" si="7"/>
        <v/>
      </c>
      <c r="W49" t="str">
        <f t="shared" si="8"/>
        <v/>
      </c>
      <c r="X49" s="1196" t="str">
        <f t="shared" si="9"/>
        <v/>
      </c>
      <c r="AJ49" s="1196" t="str">
        <f t="shared" si="10"/>
        <v/>
      </c>
    </row>
    <row r="50" spans="1:36" x14ac:dyDescent="0.35">
      <c r="A50" t="str">
        <f t="shared" si="5"/>
        <v>NO</v>
      </c>
      <c r="B50" t="str">
        <f t="shared" si="5"/>
        <v>NO</v>
      </c>
      <c r="C50" t="str">
        <f t="shared" si="5"/>
        <v>NO</v>
      </c>
      <c r="D50" t="str">
        <f t="shared" si="5"/>
        <v>NO</v>
      </c>
      <c r="E50" t="str">
        <f t="shared" si="5"/>
        <v>NO</v>
      </c>
      <c r="F50" t="str">
        <f t="shared" si="5"/>
        <v/>
      </c>
      <c r="H50" s="1196" t="str">
        <f t="shared" si="6"/>
        <v/>
      </c>
      <c r="Q50" t="str">
        <f t="shared" si="7"/>
        <v>NO</v>
      </c>
      <c r="R50" t="str">
        <f t="shared" si="7"/>
        <v>NO</v>
      </c>
      <c r="S50" t="str">
        <f t="shared" si="7"/>
        <v>NO</v>
      </c>
      <c r="T50" t="str">
        <f t="shared" si="7"/>
        <v>NO</v>
      </c>
      <c r="U50" t="str">
        <f t="shared" si="7"/>
        <v>NO</v>
      </c>
      <c r="V50" t="str">
        <f t="shared" si="7"/>
        <v/>
      </c>
      <c r="W50" t="str">
        <f t="shared" si="8"/>
        <v/>
      </c>
      <c r="X50" s="1196" t="str">
        <f t="shared" si="9"/>
        <v/>
      </c>
      <c r="AJ50" s="1196" t="str">
        <f t="shared" si="10"/>
        <v/>
      </c>
    </row>
    <row r="51" spans="1:36" x14ac:dyDescent="0.35">
      <c r="A51" t="str">
        <f t="shared" si="5"/>
        <v>NO</v>
      </c>
      <c r="B51" t="str">
        <f t="shared" si="5"/>
        <v>NO</v>
      </c>
      <c r="C51" t="str">
        <f t="shared" si="5"/>
        <v>NO</v>
      </c>
      <c r="D51" t="str">
        <f t="shared" si="5"/>
        <v>NO</v>
      </c>
      <c r="E51" t="str">
        <f t="shared" si="5"/>
        <v>NO</v>
      </c>
      <c r="F51" t="str">
        <f t="shared" si="5"/>
        <v/>
      </c>
      <c r="H51" s="1196" t="str">
        <f t="shared" si="6"/>
        <v/>
      </c>
      <c r="Q51" t="str">
        <f t="shared" si="7"/>
        <v>NO</v>
      </c>
      <c r="R51" t="str">
        <f t="shared" si="7"/>
        <v>NO</v>
      </c>
      <c r="S51" t="str">
        <f t="shared" si="7"/>
        <v>NO</v>
      </c>
      <c r="T51" t="str">
        <f t="shared" si="7"/>
        <v>NO</v>
      </c>
      <c r="U51" t="str">
        <f t="shared" si="7"/>
        <v>NO</v>
      </c>
      <c r="V51" t="str">
        <f t="shared" si="7"/>
        <v/>
      </c>
      <c r="W51" t="str">
        <f t="shared" si="8"/>
        <v/>
      </c>
      <c r="X51" s="1196" t="str">
        <f t="shared" si="9"/>
        <v/>
      </c>
      <c r="AJ51" s="1196" t="str">
        <f t="shared" si="10"/>
        <v/>
      </c>
    </row>
    <row r="52" spans="1:36" x14ac:dyDescent="0.35">
      <c r="A52" t="str">
        <f t="shared" si="5"/>
        <v>NO</v>
      </c>
      <c r="B52" t="str">
        <f t="shared" si="5"/>
        <v>NO</v>
      </c>
      <c r="C52" t="str">
        <f t="shared" si="5"/>
        <v>NO</v>
      </c>
      <c r="D52" t="str">
        <f t="shared" si="5"/>
        <v>NO</v>
      </c>
      <c r="E52" t="str">
        <f t="shared" si="5"/>
        <v>NO</v>
      </c>
      <c r="F52" t="str">
        <f t="shared" si="5"/>
        <v/>
      </c>
      <c r="H52" s="1196" t="str">
        <f t="shared" si="6"/>
        <v/>
      </c>
      <c r="Q52" t="str">
        <f t="shared" si="7"/>
        <v>NO</v>
      </c>
      <c r="R52" t="str">
        <f t="shared" si="7"/>
        <v>NO</v>
      </c>
      <c r="S52" t="str">
        <f t="shared" si="7"/>
        <v>NO</v>
      </c>
      <c r="T52" t="str">
        <f t="shared" si="7"/>
        <v>NO</v>
      </c>
      <c r="U52" t="str">
        <f t="shared" si="7"/>
        <v>NO</v>
      </c>
      <c r="V52" t="str">
        <f t="shared" si="7"/>
        <v/>
      </c>
      <c r="W52" t="str">
        <f t="shared" si="8"/>
        <v/>
      </c>
      <c r="X52" s="1196" t="str">
        <f t="shared" si="9"/>
        <v/>
      </c>
      <c r="AJ52" s="1196" t="str">
        <f t="shared" si="10"/>
        <v/>
      </c>
    </row>
    <row r="53" spans="1:36" x14ac:dyDescent="0.35">
      <c r="A53" t="str">
        <f t="shared" si="5"/>
        <v>NO</v>
      </c>
      <c r="B53" t="str">
        <f t="shared" si="5"/>
        <v>NO</v>
      </c>
      <c r="C53" t="str">
        <f t="shared" si="5"/>
        <v>NO</v>
      </c>
      <c r="D53" t="str">
        <f t="shared" si="5"/>
        <v>NO</v>
      </c>
      <c r="E53" t="str">
        <f t="shared" si="5"/>
        <v>NO</v>
      </c>
      <c r="F53" t="str">
        <f t="shared" si="5"/>
        <v/>
      </c>
      <c r="H53" s="1196" t="str">
        <f t="shared" si="6"/>
        <v/>
      </c>
      <c r="Q53" t="str">
        <f t="shared" si="7"/>
        <v>NO</v>
      </c>
      <c r="R53" t="str">
        <f t="shared" si="7"/>
        <v>NO</v>
      </c>
      <c r="S53" t="str">
        <f t="shared" si="7"/>
        <v>NO</v>
      </c>
      <c r="T53" t="str">
        <f t="shared" si="7"/>
        <v>NO</v>
      </c>
      <c r="U53" t="str">
        <f t="shared" si="7"/>
        <v>NO</v>
      </c>
      <c r="V53" t="str">
        <f t="shared" si="7"/>
        <v/>
      </c>
      <c r="W53" t="str">
        <f t="shared" si="8"/>
        <v/>
      </c>
      <c r="X53" s="1196" t="str">
        <f t="shared" si="9"/>
        <v/>
      </c>
      <c r="AJ53" s="1196" t="str">
        <f t="shared" si="10"/>
        <v/>
      </c>
    </row>
    <row r="54" spans="1:36" x14ac:dyDescent="0.35">
      <c r="A54" t="str">
        <f t="shared" si="5"/>
        <v>NO</v>
      </c>
      <c r="B54" t="str">
        <f t="shared" si="5"/>
        <v>NO</v>
      </c>
      <c r="C54" t="str">
        <f t="shared" si="5"/>
        <v>NO</v>
      </c>
      <c r="D54" t="str">
        <f t="shared" si="5"/>
        <v>NO</v>
      </c>
      <c r="E54" t="str">
        <f t="shared" si="5"/>
        <v>NO</v>
      </c>
      <c r="F54" t="str">
        <f t="shared" si="5"/>
        <v/>
      </c>
      <c r="H54" s="1196" t="str">
        <f t="shared" si="6"/>
        <v/>
      </c>
      <c r="Q54" t="str">
        <f t="shared" si="7"/>
        <v>NO</v>
      </c>
      <c r="R54" t="str">
        <f t="shared" si="7"/>
        <v>NO</v>
      </c>
      <c r="S54" t="str">
        <f t="shared" si="7"/>
        <v>NO</v>
      </c>
      <c r="T54" t="str">
        <f t="shared" si="7"/>
        <v>NO</v>
      </c>
      <c r="U54" t="str">
        <f t="shared" si="7"/>
        <v>NO</v>
      </c>
      <c r="V54" t="str">
        <f t="shared" si="7"/>
        <v/>
      </c>
      <c r="W54" t="str">
        <f t="shared" si="8"/>
        <v/>
      </c>
      <c r="X54" s="1196" t="str">
        <f t="shared" si="9"/>
        <v/>
      </c>
      <c r="AJ54" s="1196" t="str">
        <f t="shared" si="10"/>
        <v/>
      </c>
    </row>
    <row r="55" spans="1:36" x14ac:dyDescent="0.35">
      <c r="A55" t="str">
        <f t="shared" si="5"/>
        <v>NO</v>
      </c>
      <c r="B55" t="str">
        <f t="shared" si="5"/>
        <v>NO</v>
      </c>
      <c r="C55" t="str">
        <f t="shared" si="5"/>
        <v>NO</v>
      </c>
      <c r="D55" t="str">
        <f t="shared" si="5"/>
        <v>NO</v>
      </c>
      <c r="E55" t="str">
        <f t="shared" si="5"/>
        <v>NO</v>
      </c>
      <c r="F55" t="str">
        <f t="shared" si="5"/>
        <v/>
      </c>
      <c r="H55" s="1196" t="str">
        <f t="shared" si="6"/>
        <v/>
      </c>
      <c r="Q55" t="str">
        <f t="shared" si="7"/>
        <v>NO</v>
      </c>
      <c r="R55" t="str">
        <f t="shared" si="7"/>
        <v>NO</v>
      </c>
      <c r="S55" t="str">
        <f t="shared" si="7"/>
        <v>NO</v>
      </c>
      <c r="T55" t="str">
        <f t="shared" si="7"/>
        <v>NO</v>
      </c>
      <c r="U55" t="str">
        <f t="shared" si="7"/>
        <v>NO</v>
      </c>
      <c r="V55" t="str">
        <f t="shared" si="7"/>
        <v/>
      </c>
      <c r="W55" t="str">
        <f t="shared" si="8"/>
        <v/>
      </c>
      <c r="X55" s="1196" t="str">
        <f t="shared" si="9"/>
        <v/>
      </c>
      <c r="AJ55" s="1196" t="str">
        <f t="shared" si="10"/>
        <v/>
      </c>
    </row>
    <row r="56" spans="1:36" x14ac:dyDescent="0.35">
      <c r="A56" t="str">
        <f t="shared" si="5"/>
        <v>NO</v>
      </c>
      <c r="B56" t="str">
        <f t="shared" si="5"/>
        <v>NO</v>
      </c>
      <c r="C56" t="str">
        <f t="shared" si="5"/>
        <v>NO</v>
      </c>
      <c r="D56" t="str">
        <f t="shared" ref="C56:F119" si="17">IFERROR(IF($K56=D$2,_xlfn.CONCAT($I56,$J56),"NO"),0)</f>
        <v>NO</v>
      </c>
      <c r="E56" t="str">
        <f t="shared" si="17"/>
        <v>NO</v>
      </c>
      <c r="F56" t="str">
        <f t="shared" si="17"/>
        <v/>
      </c>
      <c r="H56" s="1196" t="str">
        <f t="shared" si="6"/>
        <v/>
      </c>
      <c r="Q56" t="str">
        <f t="shared" si="7"/>
        <v>NO</v>
      </c>
      <c r="R56" t="str">
        <f t="shared" si="7"/>
        <v>NO</v>
      </c>
      <c r="S56" t="str">
        <f t="shared" si="7"/>
        <v>NO</v>
      </c>
      <c r="T56" t="str">
        <f t="shared" si="7"/>
        <v>NO</v>
      </c>
      <c r="U56" t="str">
        <f t="shared" si="7"/>
        <v>NO</v>
      </c>
      <c r="V56" t="str">
        <f t="shared" si="7"/>
        <v/>
      </c>
      <c r="W56" t="str">
        <f t="shared" si="8"/>
        <v/>
      </c>
      <c r="X56" s="1196" t="str">
        <f t="shared" si="9"/>
        <v/>
      </c>
      <c r="AJ56" s="1196" t="str">
        <f t="shared" si="10"/>
        <v/>
      </c>
    </row>
    <row r="57" spans="1:36" x14ac:dyDescent="0.35">
      <c r="A57" t="str">
        <f t="shared" ref="A57:B88" si="18">IFERROR(IF($K57=A$2,_xlfn.CONCAT($I57,$J57),"NO"),0)</f>
        <v>NO</v>
      </c>
      <c r="B57" t="str">
        <f t="shared" si="18"/>
        <v>NO</v>
      </c>
      <c r="C57" t="str">
        <f t="shared" si="17"/>
        <v>NO</v>
      </c>
      <c r="D57" t="str">
        <f t="shared" si="17"/>
        <v>NO</v>
      </c>
      <c r="E57" t="str">
        <f t="shared" si="17"/>
        <v>NO</v>
      </c>
      <c r="F57" t="str">
        <f t="shared" si="17"/>
        <v/>
      </c>
      <c r="H57" s="1196" t="str">
        <f t="shared" si="6"/>
        <v/>
      </c>
      <c r="Q57" t="str">
        <f t="shared" si="7"/>
        <v>NO</v>
      </c>
      <c r="R57" t="str">
        <f t="shared" si="7"/>
        <v>NO</v>
      </c>
      <c r="S57" t="str">
        <f t="shared" si="7"/>
        <v>NO</v>
      </c>
      <c r="T57" t="str">
        <f t="shared" si="7"/>
        <v>NO</v>
      </c>
      <c r="U57" t="str">
        <f t="shared" si="7"/>
        <v>NO</v>
      </c>
      <c r="V57" t="str">
        <f t="shared" si="7"/>
        <v/>
      </c>
      <c r="W57" t="str">
        <f t="shared" si="8"/>
        <v/>
      </c>
      <c r="X57" s="1196" t="str">
        <f t="shared" si="9"/>
        <v/>
      </c>
      <c r="AJ57" s="1196" t="str">
        <f t="shared" si="10"/>
        <v/>
      </c>
    </row>
    <row r="58" spans="1:36" x14ac:dyDescent="0.35">
      <c r="A58" t="str">
        <f t="shared" si="18"/>
        <v>NO</v>
      </c>
      <c r="B58" t="str">
        <f t="shared" si="18"/>
        <v>NO</v>
      </c>
      <c r="C58" t="str">
        <f t="shared" si="17"/>
        <v>NO</v>
      </c>
      <c r="D58" t="str">
        <f t="shared" si="17"/>
        <v>NO</v>
      </c>
      <c r="E58" t="str">
        <f t="shared" si="17"/>
        <v>NO</v>
      </c>
      <c r="F58" t="str">
        <f t="shared" si="17"/>
        <v/>
      </c>
      <c r="H58" s="1196" t="str">
        <f t="shared" si="6"/>
        <v/>
      </c>
      <c r="Q58" t="str">
        <f t="shared" si="7"/>
        <v>NO</v>
      </c>
      <c r="R58" t="str">
        <f t="shared" si="7"/>
        <v>NO</v>
      </c>
      <c r="S58" t="str">
        <f t="shared" si="7"/>
        <v>NO</v>
      </c>
      <c r="T58" t="str">
        <f t="shared" si="7"/>
        <v>NO</v>
      </c>
      <c r="U58" t="str">
        <f t="shared" si="7"/>
        <v>NO</v>
      </c>
      <c r="V58" t="str">
        <f t="shared" si="7"/>
        <v/>
      </c>
      <c r="W58" t="str">
        <f t="shared" si="8"/>
        <v/>
      </c>
      <c r="X58" s="1196" t="str">
        <f t="shared" si="9"/>
        <v/>
      </c>
      <c r="AJ58" s="1196" t="str">
        <f t="shared" si="10"/>
        <v/>
      </c>
    </row>
    <row r="59" spans="1:36" x14ac:dyDescent="0.35">
      <c r="A59" t="str">
        <f t="shared" si="18"/>
        <v>NO</v>
      </c>
      <c r="B59" t="str">
        <f t="shared" si="18"/>
        <v>NO</v>
      </c>
      <c r="C59" t="str">
        <f t="shared" si="17"/>
        <v>NO</v>
      </c>
      <c r="D59" t="str">
        <f t="shared" si="17"/>
        <v>NO</v>
      </c>
      <c r="E59" t="str">
        <f t="shared" si="17"/>
        <v>NO</v>
      </c>
      <c r="F59" t="str">
        <f t="shared" si="17"/>
        <v/>
      </c>
      <c r="H59" s="1196" t="str">
        <f t="shared" si="6"/>
        <v/>
      </c>
      <c r="Q59" t="str">
        <f t="shared" ref="Q59:V90" si="19">IFERROR(IF($AA59=Q$2,_xlfn.CONCAT($Y59,$Z59),"NO"),0)</f>
        <v>NO</v>
      </c>
      <c r="R59" t="str">
        <f t="shared" si="19"/>
        <v>NO</v>
      </c>
      <c r="S59" t="str">
        <f t="shared" si="19"/>
        <v>NO</v>
      </c>
      <c r="T59" t="str">
        <f t="shared" si="19"/>
        <v>NO</v>
      </c>
      <c r="U59" t="str">
        <f t="shared" si="19"/>
        <v>NO</v>
      </c>
      <c r="V59" t="str">
        <f t="shared" si="19"/>
        <v/>
      </c>
      <c r="W59" t="str">
        <f t="shared" si="8"/>
        <v/>
      </c>
      <c r="X59" s="1196" t="str">
        <f t="shared" si="9"/>
        <v/>
      </c>
      <c r="AJ59" s="1196" t="str">
        <f t="shared" si="10"/>
        <v/>
      </c>
    </row>
    <row r="60" spans="1:36" x14ac:dyDescent="0.35">
      <c r="A60" t="str">
        <f t="shared" si="18"/>
        <v>NO</v>
      </c>
      <c r="B60" t="str">
        <f t="shared" si="18"/>
        <v>NO</v>
      </c>
      <c r="C60" t="str">
        <f t="shared" si="17"/>
        <v>NO</v>
      </c>
      <c r="D60" t="str">
        <f t="shared" si="17"/>
        <v>NO</v>
      </c>
      <c r="E60" t="str">
        <f t="shared" si="17"/>
        <v>NO</v>
      </c>
      <c r="F60" t="str">
        <f t="shared" si="17"/>
        <v/>
      </c>
      <c r="H60" s="1196" t="str">
        <f t="shared" si="6"/>
        <v/>
      </c>
      <c r="Q60" t="str">
        <f t="shared" si="19"/>
        <v>NO</v>
      </c>
      <c r="R60" t="str">
        <f t="shared" si="19"/>
        <v>NO</v>
      </c>
      <c r="S60" t="str">
        <f t="shared" si="19"/>
        <v>NO</v>
      </c>
      <c r="T60" t="str">
        <f t="shared" si="19"/>
        <v>NO</v>
      </c>
      <c r="U60" t="str">
        <f t="shared" si="19"/>
        <v>NO</v>
      </c>
      <c r="V60" t="str">
        <f t="shared" si="19"/>
        <v/>
      </c>
      <c r="W60" t="str">
        <f t="shared" si="8"/>
        <v/>
      </c>
      <c r="X60" s="1196" t="str">
        <f t="shared" si="9"/>
        <v/>
      </c>
      <c r="AJ60" s="1196" t="str">
        <f t="shared" si="10"/>
        <v/>
      </c>
    </row>
    <row r="61" spans="1:36" x14ac:dyDescent="0.35">
      <c r="A61" t="str">
        <f t="shared" si="18"/>
        <v>NO</v>
      </c>
      <c r="B61" t="str">
        <f t="shared" si="18"/>
        <v>NO</v>
      </c>
      <c r="C61" t="str">
        <f t="shared" si="17"/>
        <v>NO</v>
      </c>
      <c r="D61" t="str">
        <f t="shared" si="17"/>
        <v>NO</v>
      </c>
      <c r="E61" t="str">
        <f t="shared" si="17"/>
        <v>NO</v>
      </c>
      <c r="F61" t="str">
        <f t="shared" si="17"/>
        <v/>
      </c>
      <c r="H61" s="1196" t="str">
        <f t="shared" si="6"/>
        <v/>
      </c>
      <c r="Q61" t="str">
        <f t="shared" si="19"/>
        <v>NO</v>
      </c>
      <c r="R61" t="str">
        <f t="shared" si="19"/>
        <v>NO</v>
      </c>
      <c r="S61" t="str">
        <f t="shared" si="19"/>
        <v>NO</v>
      </c>
      <c r="T61" t="str">
        <f t="shared" si="19"/>
        <v>NO</v>
      </c>
      <c r="U61" t="str">
        <f t="shared" si="19"/>
        <v>NO</v>
      </c>
      <c r="V61" t="str">
        <f t="shared" si="19"/>
        <v/>
      </c>
      <c r="W61" t="str">
        <f t="shared" si="8"/>
        <v/>
      </c>
      <c r="X61" s="1196" t="str">
        <f t="shared" si="9"/>
        <v/>
      </c>
      <c r="AJ61" s="1196" t="str">
        <f t="shared" si="10"/>
        <v/>
      </c>
    </row>
    <row r="62" spans="1:36" x14ac:dyDescent="0.35">
      <c r="A62" t="str">
        <f t="shared" si="18"/>
        <v>NO</v>
      </c>
      <c r="B62" t="str">
        <f t="shared" si="18"/>
        <v>NO</v>
      </c>
      <c r="C62" t="str">
        <f t="shared" si="17"/>
        <v>NO</v>
      </c>
      <c r="D62" t="str">
        <f t="shared" si="17"/>
        <v>NO</v>
      </c>
      <c r="E62" t="str">
        <f t="shared" si="17"/>
        <v>NO</v>
      </c>
      <c r="F62" t="str">
        <f t="shared" si="17"/>
        <v/>
      </c>
      <c r="H62" s="1196" t="str">
        <f t="shared" si="6"/>
        <v/>
      </c>
      <c r="Q62" t="str">
        <f t="shared" si="19"/>
        <v>NO</v>
      </c>
      <c r="R62" t="str">
        <f t="shared" si="19"/>
        <v>NO</v>
      </c>
      <c r="S62" t="str">
        <f t="shared" si="19"/>
        <v>NO</v>
      </c>
      <c r="T62" t="str">
        <f t="shared" si="19"/>
        <v>NO</v>
      </c>
      <c r="U62" t="str">
        <f t="shared" si="19"/>
        <v>NO</v>
      </c>
      <c r="V62" t="str">
        <f t="shared" si="19"/>
        <v/>
      </c>
      <c r="W62" t="str">
        <f t="shared" si="8"/>
        <v/>
      </c>
      <c r="X62" s="1196" t="str">
        <f t="shared" si="9"/>
        <v/>
      </c>
      <c r="AJ62" s="1196" t="str">
        <f t="shared" si="10"/>
        <v/>
      </c>
    </row>
    <row r="63" spans="1:36" x14ac:dyDescent="0.35">
      <c r="A63" t="str">
        <f t="shared" si="18"/>
        <v>NO</v>
      </c>
      <c r="B63" t="str">
        <f t="shared" si="18"/>
        <v>NO</v>
      </c>
      <c r="C63" t="str">
        <f t="shared" si="17"/>
        <v>NO</v>
      </c>
      <c r="D63" t="str">
        <f t="shared" si="17"/>
        <v>NO</v>
      </c>
      <c r="E63" t="str">
        <f t="shared" si="17"/>
        <v>NO</v>
      </c>
      <c r="F63" t="str">
        <f t="shared" si="17"/>
        <v/>
      </c>
      <c r="H63" s="1196" t="str">
        <f t="shared" si="6"/>
        <v/>
      </c>
      <c r="Q63" t="str">
        <f t="shared" si="19"/>
        <v>NO</v>
      </c>
      <c r="R63" t="str">
        <f t="shared" si="19"/>
        <v>NO</v>
      </c>
      <c r="S63" t="str">
        <f t="shared" si="19"/>
        <v>NO</v>
      </c>
      <c r="T63" t="str">
        <f t="shared" si="19"/>
        <v>NO</v>
      </c>
      <c r="U63" t="str">
        <f t="shared" si="19"/>
        <v>NO</v>
      </c>
      <c r="V63" t="str">
        <f t="shared" si="19"/>
        <v/>
      </c>
      <c r="W63" t="str">
        <f t="shared" si="8"/>
        <v/>
      </c>
      <c r="X63" s="1196" t="str">
        <f t="shared" si="9"/>
        <v/>
      </c>
      <c r="AJ63" s="1196" t="str">
        <f t="shared" si="10"/>
        <v/>
      </c>
    </row>
    <row r="64" spans="1:36" x14ac:dyDescent="0.35">
      <c r="A64" t="str">
        <f t="shared" si="18"/>
        <v>NO</v>
      </c>
      <c r="B64" t="str">
        <f t="shared" si="18"/>
        <v>NO</v>
      </c>
      <c r="C64" t="str">
        <f t="shared" si="17"/>
        <v>NO</v>
      </c>
      <c r="D64" t="str">
        <f t="shared" si="17"/>
        <v>NO</v>
      </c>
      <c r="E64" t="str">
        <f t="shared" si="17"/>
        <v>NO</v>
      </c>
      <c r="F64" t="str">
        <f t="shared" si="17"/>
        <v/>
      </c>
      <c r="H64" s="1196" t="str">
        <f t="shared" si="6"/>
        <v/>
      </c>
      <c r="Q64" t="str">
        <f t="shared" si="19"/>
        <v>NO</v>
      </c>
      <c r="R64" t="str">
        <f t="shared" si="19"/>
        <v>NO</v>
      </c>
      <c r="S64" t="str">
        <f t="shared" si="19"/>
        <v>NO</v>
      </c>
      <c r="T64" t="str">
        <f t="shared" si="19"/>
        <v>NO</v>
      </c>
      <c r="U64" t="str">
        <f t="shared" si="19"/>
        <v>NO</v>
      </c>
      <c r="V64" t="str">
        <f t="shared" si="19"/>
        <v/>
      </c>
      <c r="W64" t="str">
        <f t="shared" si="8"/>
        <v/>
      </c>
      <c r="X64" s="1196" t="str">
        <f t="shared" si="9"/>
        <v/>
      </c>
      <c r="AJ64" s="1196" t="str">
        <f t="shared" si="10"/>
        <v/>
      </c>
    </row>
    <row r="65" spans="1:36" x14ac:dyDescent="0.35">
      <c r="A65" t="str">
        <f t="shared" si="18"/>
        <v>NO</v>
      </c>
      <c r="B65" t="str">
        <f t="shared" si="18"/>
        <v>NO</v>
      </c>
      <c r="C65" t="str">
        <f t="shared" si="17"/>
        <v>NO</v>
      </c>
      <c r="D65" t="str">
        <f t="shared" si="17"/>
        <v>NO</v>
      </c>
      <c r="E65" t="str">
        <f t="shared" si="17"/>
        <v>NO</v>
      </c>
      <c r="F65" t="str">
        <f t="shared" si="17"/>
        <v/>
      </c>
      <c r="H65" s="1196" t="str">
        <f t="shared" si="6"/>
        <v/>
      </c>
      <c r="Q65" t="str">
        <f t="shared" si="19"/>
        <v>NO</v>
      </c>
      <c r="R65" t="str">
        <f t="shared" si="19"/>
        <v>NO</v>
      </c>
      <c r="S65" t="str">
        <f t="shared" si="19"/>
        <v>NO</v>
      </c>
      <c r="T65" t="str">
        <f t="shared" si="19"/>
        <v>NO</v>
      </c>
      <c r="U65" t="str">
        <f t="shared" si="19"/>
        <v>NO</v>
      </c>
      <c r="V65" t="str">
        <f t="shared" si="19"/>
        <v/>
      </c>
      <c r="W65" t="str">
        <f t="shared" si="8"/>
        <v/>
      </c>
      <c r="X65" s="1196" t="str">
        <f t="shared" si="9"/>
        <v/>
      </c>
      <c r="AJ65" s="1196" t="str">
        <f t="shared" si="10"/>
        <v/>
      </c>
    </row>
    <row r="66" spans="1:36" x14ac:dyDescent="0.35">
      <c r="A66" t="str">
        <f t="shared" si="18"/>
        <v>NO</v>
      </c>
      <c r="B66" t="str">
        <f t="shared" si="18"/>
        <v>NO</v>
      </c>
      <c r="C66" t="str">
        <f t="shared" si="17"/>
        <v>NO</v>
      </c>
      <c r="D66" t="str">
        <f t="shared" si="17"/>
        <v>NO</v>
      </c>
      <c r="E66" t="str">
        <f t="shared" si="17"/>
        <v>NO</v>
      </c>
      <c r="F66" t="str">
        <f t="shared" si="17"/>
        <v/>
      </c>
      <c r="H66" s="1196" t="str">
        <f t="shared" si="6"/>
        <v/>
      </c>
      <c r="Q66" t="str">
        <f t="shared" si="19"/>
        <v>NO</v>
      </c>
      <c r="R66" t="str">
        <f t="shared" si="19"/>
        <v>NO</v>
      </c>
      <c r="S66" t="str">
        <f t="shared" si="19"/>
        <v>NO</v>
      </c>
      <c r="T66" t="str">
        <f t="shared" si="19"/>
        <v>NO</v>
      </c>
      <c r="U66" t="str">
        <f t="shared" si="19"/>
        <v>NO</v>
      </c>
      <c r="V66" t="str">
        <f t="shared" si="19"/>
        <v/>
      </c>
      <c r="W66" t="str">
        <f t="shared" si="8"/>
        <v/>
      </c>
      <c r="X66" s="1196" t="str">
        <f t="shared" si="9"/>
        <v/>
      </c>
      <c r="AJ66" s="1196" t="str">
        <f t="shared" si="10"/>
        <v/>
      </c>
    </row>
    <row r="67" spans="1:36" x14ac:dyDescent="0.35">
      <c r="A67" t="str">
        <f t="shared" si="18"/>
        <v>NO</v>
      </c>
      <c r="B67" t="str">
        <f t="shared" si="18"/>
        <v>NO</v>
      </c>
      <c r="C67" t="str">
        <f t="shared" si="17"/>
        <v>NO</v>
      </c>
      <c r="D67" t="str">
        <f t="shared" si="17"/>
        <v>NO</v>
      </c>
      <c r="E67" t="str">
        <f t="shared" si="17"/>
        <v>NO</v>
      </c>
      <c r="F67" t="str">
        <f t="shared" si="17"/>
        <v/>
      </c>
      <c r="H67" s="1196" t="str">
        <f t="shared" si="6"/>
        <v/>
      </c>
      <c r="Q67" t="str">
        <f t="shared" si="19"/>
        <v>NO</v>
      </c>
      <c r="R67" t="str">
        <f t="shared" si="19"/>
        <v>NO</v>
      </c>
      <c r="S67" t="str">
        <f t="shared" si="19"/>
        <v>NO</v>
      </c>
      <c r="T67" t="str">
        <f t="shared" si="19"/>
        <v>NO</v>
      </c>
      <c r="U67" t="str">
        <f t="shared" si="19"/>
        <v>NO</v>
      </c>
      <c r="V67" t="str">
        <f t="shared" si="19"/>
        <v/>
      </c>
      <c r="W67" t="str">
        <f t="shared" si="8"/>
        <v/>
      </c>
      <c r="X67" s="1196" t="str">
        <f t="shared" si="9"/>
        <v/>
      </c>
      <c r="AJ67" s="1196" t="str">
        <f t="shared" si="10"/>
        <v/>
      </c>
    </row>
    <row r="68" spans="1:36" x14ac:dyDescent="0.35">
      <c r="A68" t="str">
        <f t="shared" si="18"/>
        <v>NO</v>
      </c>
      <c r="B68" t="str">
        <f t="shared" si="18"/>
        <v>NO</v>
      </c>
      <c r="C68" t="str">
        <f t="shared" si="17"/>
        <v>NO</v>
      </c>
      <c r="D68" t="str">
        <f t="shared" si="17"/>
        <v>NO</v>
      </c>
      <c r="E68" t="str">
        <f t="shared" si="17"/>
        <v>NO</v>
      </c>
      <c r="F68" t="str">
        <f t="shared" si="17"/>
        <v/>
      </c>
      <c r="H68" s="1196" t="str">
        <f t="shared" ref="H68:H131" si="20">_xlfn.CONCAT(I68,J68,)</f>
        <v/>
      </c>
      <c r="Q68" t="str">
        <f t="shared" si="19"/>
        <v>NO</v>
      </c>
      <c r="R68" t="str">
        <f t="shared" si="19"/>
        <v>NO</v>
      </c>
      <c r="S68" t="str">
        <f t="shared" si="19"/>
        <v>NO</v>
      </c>
      <c r="T68" t="str">
        <f t="shared" si="19"/>
        <v>NO</v>
      </c>
      <c r="U68" t="str">
        <f t="shared" si="19"/>
        <v>NO</v>
      </c>
      <c r="V68" t="str">
        <f t="shared" si="19"/>
        <v/>
      </c>
      <c r="W68" t="str">
        <f t="shared" ref="W68:W131" si="21">IF(AV68=W67,_xlfn.CONCAT(AE68,AU68))</f>
        <v/>
      </c>
      <c r="X68" s="1196" t="str">
        <f t="shared" ref="X68:X131" si="22">_xlfn.CONCAT(Y68,Z68,)</f>
        <v/>
      </c>
      <c r="AJ68" s="1196" t="str">
        <f t="shared" ref="AJ68:AJ131" si="23">+IF(AI68="si",_xlfn.CONCAT(AH68,AG68),"")</f>
        <v/>
      </c>
    </row>
    <row r="69" spans="1:36" x14ac:dyDescent="0.35">
      <c r="A69" t="str">
        <f t="shared" si="18"/>
        <v>NO</v>
      </c>
      <c r="B69" t="str">
        <f t="shared" si="18"/>
        <v>NO</v>
      </c>
      <c r="C69" t="str">
        <f t="shared" si="17"/>
        <v>NO</v>
      </c>
      <c r="D69" t="str">
        <f t="shared" si="17"/>
        <v>NO</v>
      </c>
      <c r="E69" t="str">
        <f t="shared" si="17"/>
        <v>NO</v>
      </c>
      <c r="F69" t="str">
        <f t="shared" si="17"/>
        <v/>
      </c>
      <c r="H69" s="1196" t="str">
        <f t="shared" si="20"/>
        <v/>
      </c>
      <c r="Q69" t="str">
        <f t="shared" si="19"/>
        <v>NO</v>
      </c>
      <c r="R69" t="str">
        <f t="shared" si="19"/>
        <v>NO</v>
      </c>
      <c r="S69" t="str">
        <f t="shared" si="19"/>
        <v>NO</v>
      </c>
      <c r="T69" t="str">
        <f t="shared" si="19"/>
        <v>NO</v>
      </c>
      <c r="U69" t="str">
        <f t="shared" si="19"/>
        <v>NO</v>
      </c>
      <c r="V69" t="str">
        <f t="shared" si="19"/>
        <v/>
      </c>
      <c r="W69" t="str">
        <f t="shared" si="21"/>
        <v/>
      </c>
      <c r="X69" s="1196" t="str">
        <f t="shared" si="22"/>
        <v/>
      </c>
      <c r="AJ69" s="1196" t="str">
        <f t="shared" si="23"/>
        <v/>
      </c>
    </row>
    <row r="70" spans="1:36" x14ac:dyDescent="0.35">
      <c r="A70" t="str">
        <f t="shared" si="18"/>
        <v>NO</v>
      </c>
      <c r="B70" t="str">
        <f t="shared" si="18"/>
        <v>NO</v>
      </c>
      <c r="C70" t="str">
        <f t="shared" si="17"/>
        <v>NO</v>
      </c>
      <c r="D70" t="str">
        <f t="shared" si="17"/>
        <v>NO</v>
      </c>
      <c r="E70" t="str">
        <f t="shared" si="17"/>
        <v>NO</v>
      </c>
      <c r="F70" t="str">
        <f t="shared" si="17"/>
        <v/>
      </c>
      <c r="H70" s="1196" t="str">
        <f t="shared" si="20"/>
        <v/>
      </c>
      <c r="Q70" t="str">
        <f t="shared" si="19"/>
        <v>NO</v>
      </c>
      <c r="R70" t="str">
        <f t="shared" si="19"/>
        <v>NO</v>
      </c>
      <c r="S70" t="str">
        <f t="shared" si="19"/>
        <v>NO</v>
      </c>
      <c r="T70" t="str">
        <f t="shared" si="19"/>
        <v>NO</v>
      </c>
      <c r="U70" t="str">
        <f t="shared" si="19"/>
        <v>NO</v>
      </c>
      <c r="V70" t="str">
        <f t="shared" si="19"/>
        <v/>
      </c>
      <c r="W70" t="str">
        <f t="shared" si="21"/>
        <v/>
      </c>
      <c r="X70" s="1196" t="str">
        <f t="shared" si="22"/>
        <v/>
      </c>
      <c r="AJ70" s="1196" t="str">
        <f t="shared" si="23"/>
        <v/>
      </c>
    </row>
    <row r="71" spans="1:36" x14ac:dyDescent="0.35">
      <c r="A71" t="str">
        <f t="shared" si="18"/>
        <v>NO</v>
      </c>
      <c r="B71" t="str">
        <f t="shared" si="18"/>
        <v>NO</v>
      </c>
      <c r="C71" t="str">
        <f t="shared" si="17"/>
        <v>NO</v>
      </c>
      <c r="D71" t="str">
        <f t="shared" si="17"/>
        <v>NO</v>
      </c>
      <c r="E71" t="str">
        <f t="shared" si="17"/>
        <v>NO</v>
      </c>
      <c r="F71" t="str">
        <f t="shared" si="17"/>
        <v/>
      </c>
      <c r="H71" s="1196" t="str">
        <f t="shared" si="20"/>
        <v/>
      </c>
      <c r="Q71" t="str">
        <f t="shared" si="19"/>
        <v>NO</v>
      </c>
      <c r="R71" t="str">
        <f t="shared" si="19"/>
        <v>NO</v>
      </c>
      <c r="S71" t="str">
        <f t="shared" si="19"/>
        <v>NO</v>
      </c>
      <c r="T71" t="str">
        <f t="shared" si="19"/>
        <v>NO</v>
      </c>
      <c r="U71" t="str">
        <f t="shared" si="19"/>
        <v>NO</v>
      </c>
      <c r="V71" t="str">
        <f t="shared" si="19"/>
        <v/>
      </c>
      <c r="W71" t="str">
        <f t="shared" si="21"/>
        <v/>
      </c>
      <c r="X71" s="1196" t="str">
        <f t="shared" si="22"/>
        <v/>
      </c>
      <c r="AJ71" s="1196" t="str">
        <f t="shared" si="23"/>
        <v/>
      </c>
    </row>
    <row r="72" spans="1:36" x14ac:dyDescent="0.35">
      <c r="A72" t="str">
        <f t="shared" si="18"/>
        <v>NO</v>
      </c>
      <c r="B72" t="str">
        <f t="shared" si="18"/>
        <v>NO</v>
      </c>
      <c r="C72" t="str">
        <f t="shared" si="17"/>
        <v>NO</v>
      </c>
      <c r="D72" t="str">
        <f t="shared" si="17"/>
        <v>NO</v>
      </c>
      <c r="E72" t="str">
        <f t="shared" si="17"/>
        <v>NO</v>
      </c>
      <c r="F72" t="str">
        <f t="shared" si="17"/>
        <v/>
      </c>
      <c r="H72" s="1196" t="str">
        <f t="shared" si="20"/>
        <v/>
      </c>
      <c r="Q72" t="str">
        <f t="shared" si="19"/>
        <v>NO</v>
      </c>
      <c r="R72" t="str">
        <f t="shared" si="19"/>
        <v>NO</v>
      </c>
      <c r="S72" t="str">
        <f t="shared" si="19"/>
        <v>NO</v>
      </c>
      <c r="T72" t="str">
        <f t="shared" si="19"/>
        <v>NO</v>
      </c>
      <c r="U72" t="str">
        <f t="shared" si="19"/>
        <v>NO</v>
      </c>
      <c r="V72" t="str">
        <f t="shared" si="19"/>
        <v/>
      </c>
      <c r="W72" t="str">
        <f t="shared" si="21"/>
        <v/>
      </c>
      <c r="X72" s="1196" t="str">
        <f t="shared" si="22"/>
        <v/>
      </c>
      <c r="AJ72" s="1196" t="str">
        <f t="shared" si="23"/>
        <v/>
      </c>
    </row>
    <row r="73" spans="1:36" x14ac:dyDescent="0.35">
      <c r="A73" t="str">
        <f t="shared" si="18"/>
        <v>NO</v>
      </c>
      <c r="B73" t="str">
        <f t="shared" si="18"/>
        <v>NO</v>
      </c>
      <c r="C73" t="str">
        <f t="shared" si="17"/>
        <v>NO</v>
      </c>
      <c r="D73" t="str">
        <f t="shared" si="17"/>
        <v>NO</v>
      </c>
      <c r="E73" t="str">
        <f t="shared" si="17"/>
        <v>NO</v>
      </c>
      <c r="F73" t="str">
        <f t="shared" si="17"/>
        <v/>
      </c>
      <c r="H73" s="1196" t="str">
        <f t="shared" si="20"/>
        <v/>
      </c>
      <c r="Q73" t="str">
        <f t="shared" si="19"/>
        <v>NO</v>
      </c>
      <c r="R73" t="str">
        <f t="shared" si="19"/>
        <v>NO</v>
      </c>
      <c r="S73" t="str">
        <f t="shared" si="19"/>
        <v>NO</v>
      </c>
      <c r="T73" t="str">
        <f t="shared" si="19"/>
        <v>NO</v>
      </c>
      <c r="U73" t="str">
        <f t="shared" si="19"/>
        <v>NO</v>
      </c>
      <c r="V73" t="str">
        <f t="shared" si="19"/>
        <v/>
      </c>
      <c r="W73" t="str">
        <f t="shared" si="21"/>
        <v/>
      </c>
      <c r="X73" s="1196" t="str">
        <f t="shared" si="22"/>
        <v/>
      </c>
      <c r="AJ73" s="1196" t="str">
        <f t="shared" si="23"/>
        <v/>
      </c>
    </row>
    <row r="74" spans="1:36" x14ac:dyDescent="0.35">
      <c r="A74" t="str">
        <f t="shared" si="18"/>
        <v>NO</v>
      </c>
      <c r="B74" t="str">
        <f t="shared" si="18"/>
        <v>NO</v>
      </c>
      <c r="C74" t="str">
        <f t="shared" si="17"/>
        <v>NO</v>
      </c>
      <c r="D74" t="str">
        <f t="shared" si="17"/>
        <v>NO</v>
      </c>
      <c r="E74" t="str">
        <f t="shared" si="17"/>
        <v>NO</v>
      </c>
      <c r="F74" t="str">
        <f t="shared" si="17"/>
        <v/>
      </c>
      <c r="H74" s="1196" t="str">
        <f t="shared" si="20"/>
        <v/>
      </c>
      <c r="Q74" t="str">
        <f t="shared" si="19"/>
        <v>NO</v>
      </c>
      <c r="R74" t="str">
        <f t="shared" si="19"/>
        <v>NO</v>
      </c>
      <c r="S74" t="str">
        <f t="shared" si="19"/>
        <v>NO</v>
      </c>
      <c r="T74" t="str">
        <f t="shared" si="19"/>
        <v>NO</v>
      </c>
      <c r="U74" t="str">
        <f t="shared" si="19"/>
        <v>NO</v>
      </c>
      <c r="V74" t="str">
        <f t="shared" si="19"/>
        <v/>
      </c>
      <c r="W74" t="str">
        <f t="shared" si="21"/>
        <v/>
      </c>
      <c r="X74" s="1196" t="str">
        <f t="shared" si="22"/>
        <v/>
      </c>
      <c r="AJ74" s="1196" t="str">
        <f t="shared" si="23"/>
        <v/>
      </c>
    </row>
    <row r="75" spans="1:36" x14ac:dyDescent="0.35">
      <c r="A75" t="str">
        <f t="shared" si="18"/>
        <v>NO</v>
      </c>
      <c r="B75" t="str">
        <f t="shared" si="18"/>
        <v>NO</v>
      </c>
      <c r="C75" t="str">
        <f t="shared" si="17"/>
        <v>NO</v>
      </c>
      <c r="D75" t="str">
        <f t="shared" si="17"/>
        <v>NO</v>
      </c>
      <c r="E75" t="str">
        <f t="shared" si="17"/>
        <v>NO</v>
      </c>
      <c r="F75" t="str">
        <f t="shared" si="17"/>
        <v/>
      </c>
      <c r="H75" s="1196" t="str">
        <f t="shared" si="20"/>
        <v/>
      </c>
      <c r="Q75" t="str">
        <f t="shared" si="19"/>
        <v>NO</v>
      </c>
      <c r="R75" t="str">
        <f t="shared" si="19"/>
        <v>NO</v>
      </c>
      <c r="S75" t="str">
        <f t="shared" si="19"/>
        <v>NO</v>
      </c>
      <c r="T75" t="str">
        <f t="shared" si="19"/>
        <v>NO</v>
      </c>
      <c r="U75" t="str">
        <f t="shared" si="19"/>
        <v>NO</v>
      </c>
      <c r="V75" t="str">
        <f t="shared" si="19"/>
        <v/>
      </c>
      <c r="W75" t="str">
        <f t="shared" si="21"/>
        <v/>
      </c>
      <c r="X75" s="1196" t="str">
        <f t="shared" si="22"/>
        <v/>
      </c>
      <c r="AJ75" s="1196" t="str">
        <f t="shared" si="23"/>
        <v/>
      </c>
    </row>
    <row r="76" spans="1:36" x14ac:dyDescent="0.35">
      <c r="A76" t="str">
        <f t="shared" si="18"/>
        <v>NO</v>
      </c>
      <c r="B76" t="str">
        <f t="shared" si="18"/>
        <v>NO</v>
      </c>
      <c r="C76" t="str">
        <f t="shared" si="17"/>
        <v>NO</v>
      </c>
      <c r="D76" t="str">
        <f t="shared" si="17"/>
        <v>NO</v>
      </c>
      <c r="E76" t="str">
        <f t="shared" si="17"/>
        <v>NO</v>
      </c>
      <c r="F76" t="str">
        <f t="shared" si="17"/>
        <v/>
      </c>
      <c r="H76" s="1196" t="str">
        <f t="shared" si="20"/>
        <v/>
      </c>
      <c r="Q76" t="str">
        <f t="shared" si="19"/>
        <v>NO</v>
      </c>
      <c r="R76" t="str">
        <f t="shared" si="19"/>
        <v>NO</v>
      </c>
      <c r="S76" t="str">
        <f t="shared" si="19"/>
        <v>NO</v>
      </c>
      <c r="T76" t="str">
        <f t="shared" si="19"/>
        <v>NO</v>
      </c>
      <c r="U76" t="str">
        <f t="shared" si="19"/>
        <v>NO</v>
      </c>
      <c r="V76" t="str">
        <f t="shared" si="19"/>
        <v/>
      </c>
      <c r="W76" t="str">
        <f t="shared" si="21"/>
        <v/>
      </c>
      <c r="X76" s="1196" t="str">
        <f t="shared" si="22"/>
        <v/>
      </c>
      <c r="AJ76" s="1196" t="str">
        <f t="shared" si="23"/>
        <v/>
      </c>
    </row>
    <row r="77" spans="1:36" x14ac:dyDescent="0.35">
      <c r="A77" t="str">
        <f t="shared" si="18"/>
        <v>NO</v>
      </c>
      <c r="B77" t="str">
        <f t="shared" si="18"/>
        <v>NO</v>
      </c>
      <c r="C77" t="str">
        <f t="shared" si="17"/>
        <v>NO</v>
      </c>
      <c r="D77" t="str">
        <f t="shared" si="17"/>
        <v>NO</v>
      </c>
      <c r="E77" t="str">
        <f t="shared" si="17"/>
        <v>NO</v>
      </c>
      <c r="F77" t="str">
        <f t="shared" si="17"/>
        <v/>
      </c>
      <c r="H77" s="1196" t="str">
        <f t="shared" si="20"/>
        <v/>
      </c>
      <c r="Q77" t="str">
        <f t="shared" si="19"/>
        <v>NO</v>
      </c>
      <c r="R77" t="str">
        <f t="shared" si="19"/>
        <v>NO</v>
      </c>
      <c r="S77" t="str">
        <f t="shared" si="19"/>
        <v>NO</v>
      </c>
      <c r="T77" t="str">
        <f t="shared" si="19"/>
        <v>NO</v>
      </c>
      <c r="U77" t="str">
        <f t="shared" si="19"/>
        <v>NO</v>
      </c>
      <c r="V77" t="str">
        <f t="shared" si="19"/>
        <v/>
      </c>
      <c r="W77" t="str">
        <f t="shared" si="21"/>
        <v/>
      </c>
      <c r="X77" s="1196" t="str">
        <f t="shared" si="22"/>
        <v/>
      </c>
      <c r="AJ77" s="1196" t="str">
        <f t="shared" si="23"/>
        <v/>
      </c>
    </row>
    <row r="78" spans="1:36" x14ac:dyDescent="0.35">
      <c r="A78" t="str">
        <f t="shared" si="18"/>
        <v>NO</v>
      </c>
      <c r="B78" t="str">
        <f t="shared" si="18"/>
        <v>NO</v>
      </c>
      <c r="C78" t="str">
        <f t="shared" si="17"/>
        <v>NO</v>
      </c>
      <c r="D78" t="str">
        <f t="shared" si="17"/>
        <v>NO</v>
      </c>
      <c r="E78" t="str">
        <f t="shared" si="17"/>
        <v>NO</v>
      </c>
      <c r="F78" t="str">
        <f t="shared" si="17"/>
        <v/>
      </c>
      <c r="H78" s="1196" t="str">
        <f t="shared" si="20"/>
        <v/>
      </c>
      <c r="Q78" t="str">
        <f t="shared" si="19"/>
        <v>NO</v>
      </c>
      <c r="R78" t="str">
        <f t="shared" si="19"/>
        <v>NO</v>
      </c>
      <c r="S78" t="str">
        <f t="shared" si="19"/>
        <v>NO</v>
      </c>
      <c r="T78" t="str">
        <f t="shared" si="19"/>
        <v>NO</v>
      </c>
      <c r="U78" t="str">
        <f t="shared" si="19"/>
        <v>NO</v>
      </c>
      <c r="V78" t="str">
        <f t="shared" si="19"/>
        <v/>
      </c>
      <c r="W78" t="str">
        <f t="shared" si="21"/>
        <v/>
      </c>
      <c r="X78" s="1196" t="str">
        <f t="shared" si="22"/>
        <v/>
      </c>
      <c r="AJ78" s="1196" t="str">
        <f t="shared" si="23"/>
        <v/>
      </c>
    </row>
    <row r="79" spans="1:36" x14ac:dyDescent="0.35">
      <c r="A79" t="str">
        <f t="shared" si="18"/>
        <v>NO</v>
      </c>
      <c r="B79" t="str">
        <f t="shared" si="18"/>
        <v>NO</v>
      </c>
      <c r="C79" t="str">
        <f t="shared" si="17"/>
        <v>NO</v>
      </c>
      <c r="D79" t="str">
        <f t="shared" si="17"/>
        <v>NO</v>
      </c>
      <c r="E79" t="str">
        <f t="shared" si="17"/>
        <v>NO</v>
      </c>
      <c r="F79" t="str">
        <f t="shared" si="17"/>
        <v/>
      </c>
      <c r="H79" s="1196" t="str">
        <f t="shared" si="20"/>
        <v/>
      </c>
      <c r="Q79" t="str">
        <f t="shared" si="19"/>
        <v>NO</v>
      </c>
      <c r="R79" t="str">
        <f t="shared" si="19"/>
        <v>NO</v>
      </c>
      <c r="S79" t="str">
        <f t="shared" si="19"/>
        <v>NO</v>
      </c>
      <c r="T79" t="str">
        <f t="shared" si="19"/>
        <v>NO</v>
      </c>
      <c r="U79" t="str">
        <f t="shared" si="19"/>
        <v>NO</v>
      </c>
      <c r="V79" t="str">
        <f t="shared" si="19"/>
        <v/>
      </c>
      <c r="W79" t="str">
        <f t="shared" si="21"/>
        <v/>
      </c>
      <c r="X79" s="1196" t="str">
        <f t="shared" si="22"/>
        <v/>
      </c>
      <c r="AJ79" s="1196" t="str">
        <f t="shared" si="23"/>
        <v/>
      </c>
    </row>
    <row r="80" spans="1:36" x14ac:dyDescent="0.35">
      <c r="A80" t="str">
        <f t="shared" si="18"/>
        <v>NO</v>
      </c>
      <c r="B80" t="str">
        <f t="shared" si="18"/>
        <v>NO</v>
      </c>
      <c r="C80" t="str">
        <f t="shared" si="17"/>
        <v>NO</v>
      </c>
      <c r="D80" t="str">
        <f t="shared" si="17"/>
        <v>NO</v>
      </c>
      <c r="E80" t="str">
        <f t="shared" si="17"/>
        <v>NO</v>
      </c>
      <c r="F80" t="str">
        <f t="shared" si="17"/>
        <v/>
      </c>
      <c r="H80" s="1196" t="str">
        <f t="shared" si="20"/>
        <v/>
      </c>
      <c r="Q80" t="str">
        <f t="shared" si="19"/>
        <v>NO</v>
      </c>
      <c r="R80" t="str">
        <f t="shared" si="19"/>
        <v>NO</v>
      </c>
      <c r="S80" t="str">
        <f t="shared" si="19"/>
        <v>NO</v>
      </c>
      <c r="T80" t="str">
        <f t="shared" si="19"/>
        <v>NO</v>
      </c>
      <c r="U80" t="str">
        <f t="shared" si="19"/>
        <v>NO</v>
      </c>
      <c r="V80" t="str">
        <f t="shared" si="19"/>
        <v/>
      </c>
      <c r="W80" t="str">
        <f t="shared" si="21"/>
        <v/>
      </c>
      <c r="X80" s="1196" t="str">
        <f t="shared" si="22"/>
        <v/>
      </c>
      <c r="AJ80" s="1196" t="str">
        <f t="shared" si="23"/>
        <v/>
      </c>
    </row>
    <row r="81" spans="1:36" x14ac:dyDescent="0.35">
      <c r="A81" t="str">
        <f t="shared" si="18"/>
        <v>NO</v>
      </c>
      <c r="B81" t="str">
        <f t="shared" si="18"/>
        <v>NO</v>
      </c>
      <c r="C81" t="str">
        <f t="shared" si="17"/>
        <v>NO</v>
      </c>
      <c r="D81" t="str">
        <f t="shared" si="17"/>
        <v>NO</v>
      </c>
      <c r="E81" t="str">
        <f t="shared" si="17"/>
        <v>NO</v>
      </c>
      <c r="F81" t="str">
        <f t="shared" si="17"/>
        <v/>
      </c>
      <c r="H81" s="1196" t="str">
        <f t="shared" si="20"/>
        <v/>
      </c>
      <c r="Q81" t="str">
        <f t="shared" si="19"/>
        <v>NO</v>
      </c>
      <c r="R81" t="str">
        <f t="shared" si="19"/>
        <v>NO</v>
      </c>
      <c r="S81" t="str">
        <f t="shared" si="19"/>
        <v>NO</v>
      </c>
      <c r="T81" t="str">
        <f t="shared" si="19"/>
        <v>NO</v>
      </c>
      <c r="U81" t="str">
        <f t="shared" si="19"/>
        <v>NO</v>
      </c>
      <c r="V81" t="str">
        <f t="shared" si="19"/>
        <v/>
      </c>
      <c r="W81" t="str">
        <f t="shared" si="21"/>
        <v/>
      </c>
      <c r="X81" s="1196" t="str">
        <f t="shared" si="22"/>
        <v/>
      </c>
      <c r="AJ81" s="1196" t="str">
        <f t="shared" si="23"/>
        <v/>
      </c>
    </row>
    <row r="82" spans="1:36" x14ac:dyDescent="0.35">
      <c r="A82" t="str">
        <f t="shared" si="18"/>
        <v>NO</v>
      </c>
      <c r="B82" t="str">
        <f t="shared" si="18"/>
        <v>NO</v>
      </c>
      <c r="C82" t="str">
        <f t="shared" si="17"/>
        <v>NO</v>
      </c>
      <c r="D82" t="str">
        <f t="shared" si="17"/>
        <v>NO</v>
      </c>
      <c r="E82" t="str">
        <f t="shared" si="17"/>
        <v>NO</v>
      </c>
      <c r="F82" t="str">
        <f t="shared" si="17"/>
        <v/>
      </c>
      <c r="H82" s="1196" t="str">
        <f t="shared" si="20"/>
        <v/>
      </c>
      <c r="Q82" t="str">
        <f t="shared" si="19"/>
        <v>NO</v>
      </c>
      <c r="R82" t="str">
        <f t="shared" si="19"/>
        <v>NO</v>
      </c>
      <c r="S82" t="str">
        <f t="shared" si="19"/>
        <v>NO</v>
      </c>
      <c r="T82" t="str">
        <f t="shared" si="19"/>
        <v>NO</v>
      </c>
      <c r="U82" t="str">
        <f t="shared" si="19"/>
        <v>NO</v>
      </c>
      <c r="V82" t="str">
        <f t="shared" si="19"/>
        <v/>
      </c>
      <c r="W82" t="str">
        <f t="shared" si="21"/>
        <v/>
      </c>
      <c r="X82" s="1196" t="str">
        <f t="shared" si="22"/>
        <v/>
      </c>
      <c r="AJ82" s="1196" t="str">
        <f t="shared" si="23"/>
        <v/>
      </c>
    </row>
    <row r="83" spans="1:36" x14ac:dyDescent="0.35">
      <c r="A83" t="str">
        <f t="shared" si="18"/>
        <v>NO</v>
      </c>
      <c r="B83" t="str">
        <f t="shared" si="18"/>
        <v>NO</v>
      </c>
      <c r="C83" t="str">
        <f t="shared" si="17"/>
        <v>NO</v>
      </c>
      <c r="D83" t="str">
        <f t="shared" si="17"/>
        <v>NO</v>
      </c>
      <c r="E83" t="str">
        <f t="shared" si="17"/>
        <v>NO</v>
      </c>
      <c r="F83" t="str">
        <f t="shared" si="17"/>
        <v/>
      </c>
      <c r="H83" s="1196" t="str">
        <f t="shared" si="20"/>
        <v/>
      </c>
      <c r="Q83" t="str">
        <f t="shared" si="19"/>
        <v>NO</v>
      </c>
      <c r="R83" t="str">
        <f t="shared" si="19"/>
        <v>NO</v>
      </c>
      <c r="S83" t="str">
        <f t="shared" si="19"/>
        <v>NO</v>
      </c>
      <c r="T83" t="str">
        <f t="shared" si="19"/>
        <v>NO</v>
      </c>
      <c r="U83" t="str">
        <f t="shared" si="19"/>
        <v>NO</v>
      </c>
      <c r="V83" t="str">
        <f t="shared" si="19"/>
        <v/>
      </c>
      <c r="W83" t="str">
        <f t="shared" si="21"/>
        <v/>
      </c>
      <c r="X83" s="1196" t="str">
        <f t="shared" si="22"/>
        <v/>
      </c>
      <c r="AJ83" s="1196" t="str">
        <f t="shared" si="23"/>
        <v/>
      </c>
    </row>
    <row r="84" spans="1:36" x14ac:dyDescent="0.35">
      <c r="A84" t="str">
        <f t="shared" si="18"/>
        <v>NO</v>
      </c>
      <c r="B84" t="str">
        <f t="shared" si="18"/>
        <v>NO</v>
      </c>
      <c r="C84" t="str">
        <f t="shared" si="17"/>
        <v>NO</v>
      </c>
      <c r="D84" t="str">
        <f t="shared" si="17"/>
        <v>NO</v>
      </c>
      <c r="E84" t="str">
        <f t="shared" si="17"/>
        <v>NO</v>
      </c>
      <c r="F84" t="str">
        <f t="shared" si="17"/>
        <v/>
      </c>
      <c r="H84" s="1196" t="str">
        <f t="shared" si="20"/>
        <v/>
      </c>
      <c r="Q84" t="str">
        <f t="shared" si="19"/>
        <v>NO</v>
      </c>
      <c r="R84" t="str">
        <f t="shared" si="19"/>
        <v>NO</v>
      </c>
      <c r="S84" t="str">
        <f t="shared" si="19"/>
        <v>NO</v>
      </c>
      <c r="T84" t="str">
        <f t="shared" si="19"/>
        <v>NO</v>
      </c>
      <c r="U84" t="str">
        <f t="shared" si="19"/>
        <v>NO</v>
      </c>
      <c r="V84" t="str">
        <f t="shared" si="19"/>
        <v/>
      </c>
      <c r="W84" t="str">
        <f t="shared" si="21"/>
        <v/>
      </c>
      <c r="X84" s="1196" t="str">
        <f t="shared" si="22"/>
        <v/>
      </c>
      <c r="AJ84" s="1196" t="str">
        <f t="shared" si="23"/>
        <v/>
      </c>
    </row>
    <row r="85" spans="1:36" x14ac:dyDescent="0.35">
      <c r="A85" t="str">
        <f t="shared" si="18"/>
        <v>NO</v>
      </c>
      <c r="B85" t="str">
        <f t="shared" si="18"/>
        <v>NO</v>
      </c>
      <c r="C85" t="str">
        <f t="shared" si="17"/>
        <v>NO</v>
      </c>
      <c r="D85" t="str">
        <f t="shared" si="17"/>
        <v>NO</v>
      </c>
      <c r="E85" t="str">
        <f t="shared" si="17"/>
        <v>NO</v>
      </c>
      <c r="F85" t="str">
        <f t="shared" si="17"/>
        <v/>
      </c>
      <c r="H85" s="1196" t="str">
        <f t="shared" si="20"/>
        <v/>
      </c>
      <c r="Q85" t="str">
        <f t="shared" si="19"/>
        <v>NO</v>
      </c>
      <c r="R85" t="str">
        <f t="shared" si="19"/>
        <v>NO</v>
      </c>
      <c r="S85" t="str">
        <f t="shared" si="19"/>
        <v>NO</v>
      </c>
      <c r="T85" t="str">
        <f t="shared" si="19"/>
        <v>NO</v>
      </c>
      <c r="U85" t="str">
        <f t="shared" si="19"/>
        <v>NO</v>
      </c>
      <c r="V85" t="str">
        <f t="shared" si="19"/>
        <v/>
      </c>
      <c r="W85" t="str">
        <f t="shared" si="21"/>
        <v/>
      </c>
      <c r="X85" s="1196" t="str">
        <f t="shared" si="22"/>
        <v/>
      </c>
      <c r="AJ85" s="1196" t="str">
        <f t="shared" si="23"/>
        <v/>
      </c>
    </row>
    <row r="86" spans="1:36" x14ac:dyDescent="0.35">
      <c r="A86" t="str">
        <f t="shared" si="18"/>
        <v>NO</v>
      </c>
      <c r="B86" t="str">
        <f t="shared" si="18"/>
        <v>NO</v>
      </c>
      <c r="C86" t="str">
        <f t="shared" si="17"/>
        <v>NO</v>
      </c>
      <c r="D86" t="str">
        <f t="shared" si="17"/>
        <v>NO</v>
      </c>
      <c r="E86" t="str">
        <f t="shared" si="17"/>
        <v>NO</v>
      </c>
      <c r="F86" t="str">
        <f t="shared" si="17"/>
        <v/>
      </c>
      <c r="H86" s="1196" t="str">
        <f t="shared" si="20"/>
        <v/>
      </c>
      <c r="Q86" t="str">
        <f t="shared" si="19"/>
        <v>NO</v>
      </c>
      <c r="R86" t="str">
        <f t="shared" si="19"/>
        <v>NO</v>
      </c>
      <c r="S86" t="str">
        <f t="shared" si="19"/>
        <v>NO</v>
      </c>
      <c r="T86" t="str">
        <f t="shared" si="19"/>
        <v>NO</v>
      </c>
      <c r="U86" t="str">
        <f t="shared" si="19"/>
        <v>NO</v>
      </c>
      <c r="V86" t="str">
        <f t="shared" si="19"/>
        <v/>
      </c>
      <c r="W86" t="str">
        <f t="shared" si="21"/>
        <v/>
      </c>
      <c r="X86" s="1196" t="str">
        <f t="shared" si="22"/>
        <v/>
      </c>
      <c r="AJ86" s="1196" t="str">
        <f t="shared" si="23"/>
        <v/>
      </c>
    </row>
    <row r="87" spans="1:36" x14ac:dyDescent="0.35">
      <c r="A87" t="str">
        <f t="shared" si="18"/>
        <v>NO</v>
      </c>
      <c r="B87" t="str">
        <f t="shared" si="18"/>
        <v>NO</v>
      </c>
      <c r="C87" t="str">
        <f t="shared" si="17"/>
        <v>NO</v>
      </c>
      <c r="D87" t="str">
        <f t="shared" si="17"/>
        <v>NO</v>
      </c>
      <c r="E87" t="str">
        <f t="shared" si="17"/>
        <v>NO</v>
      </c>
      <c r="F87" t="str">
        <f t="shared" si="17"/>
        <v/>
      </c>
      <c r="H87" s="1196" t="str">
        <f t="shared" si="20"/>
        <v/>
      </c>
      <c r="Q87" t="str">
        <f t="shared" si="19"/>
        <v>NO</v>
      </c>
      <c r="R87" t="str">
        <f t="shared" si="19"/>
        <v>NO</v>
      </c>
      <c r="S87" t="str">
        <f t="shared" si="19"/>
        <v>NO</v>
      </c>
      <c r="T87" t="str">
        <f t="shared" si="19"/>
        <v>NO</v>
      </c>
      <c r="U87" t="str">
        <f t="shared" si="19"/>
        <v>NO</v>
      </c>
      <c r="V87" t="str">
        <f t="shared" si="19"/>
        <v/>
      </c>
      <c r="W87" t="str">
        <f t="shared" si="21"/>
        <v/>
      </c>
      <c r="X87" s="1196" t="str">
        <f t="shared" si="22"/>
        <v/>
      </c>
      <c r="AJ87" s="1196" t="str">
        <f t="shared" si="23"/>
        <v/>
      </c>
    </row>
    <row r="88" spans="1:36" x14ac:dyDescent="0.35">
      <c r="A88" t="str">
        <f t="shared" si="18"/>
        <v>NO</v>
      </c>
      <c r="B88" t="str">
        <f t="shared" si="18"/>
        <v>NO</v>
      </c>
      <c r="C88" t="str">
        <f t="shared" si="17"/>
        <v>NO</v>
      </c>
      <c r="D88" t="str">
        <f t="shared" si="17"/>
        <v>NO</v>
      </c>
      <c r="E88" t="str">
        <f t="shared" si="17"/>
        <v>NO</v>
      </c>
      <c r="F88" t="str">
        <f t="shared" si="17"/>
        <v/>
      </c>
      <c r="H88" s="1196" t="str">
        <f t="shared" si="20"/>
        <v/>
      </c>
      <c r="Q88" t="str">
        <f t="shared" si="19"/>
        <v>NO</v>
      </c>
      <c r="R88" t="str">
        <f t="shared" si="19"/>
        <v>NO</v>
      </c>
      <c r="S88" t="str">
        <f t="shared" si="19"/>
        <v>NO</v>
      </c>
      <c r="T88" t="str">
        <f t="shared" si="19"/>
        <v>NO</v>
      </c>
      <c r="U88" t="str">
        <f t="shared" si="19"/>
        <v>NO</v>
      </c>
      <c r="V88" t="str">
        <f t="shared" si="19"/>
        <v/>
      </c>
      <c r="W88" t="str">
        <f t="shared" si="21"/>
        <v/>
      </c>
      <c r="X88" s="1196" t="str">
        <f t="shared" si="22"/>
        <v/>
      </c>
      <c r="AJ88" s="1196" t="str">
        <f t="shared" si="23"/>
        <v/>
      </c>
    </row>
    <row r="89" spans="1:36" x14ac:dyDescent="0.35">
      <c r="A89" t="str">
        <f t="shared" ref="A89:F120" si="24">IFERROR(IF($K89=A$2,_xlfn.CONCAT($I89,$J89),"NO"),0)</f>
        <v>NO</v>
      </c>
      <c r="B89" t="str">
        <f t="shared" si="24"/>
        <v>NO</v>
      </c>
      <c r="C89" t="str">
        <f t="shared" si="17"/>
        <v>NO</v>
      </c>
      <c r="D89" t="str">
        <f t="shared" si="17"/>
        <v>NO</v>
      </c>
      <c r="E89" t="str">
        <f t="shared" si="17"/>
        <v>NO</v>
      </c>
      <c r="F89" t="str">
        <f t="shared" si="17"/>
        <v/>
      </c>
      <c r="H89" s="1196" t="str">
        <f t="shared" si="20"/>
        <v/>
      </c>
      <c r="Q89" t="str">
        <f t="shared" si="19"/>
        <v>NO</v>
      </c>
      <c r="R89" t="str">
        <f t="shared" si="19"/>
        <v>NO</v>
      </c>
      <c r="S89" t="str">
        <f t="shared" si="19"/>
        <v>NO</v>
      </c>
      <c r="T89" t="str">
        <f t="shared" si="19"/>
        <v>NO</v>
      </c>
      <c r="U89" t="str">
        <f t="shared" si="19"/>
        <v>NO</v>
      </c>
      <c r="V89" t="str">
        <f t="shared" si="19"/>
        <v/>
      </c>
      <c r="W89" t="str">
        <f t="shared" si="21"/>
        <v/>
      </c>
      <c r="X89" s="1196" t="str">
        <f t="shared" si="22"/>
        <v/>
      </c>
      <c r="AJ89" s="1196" t="str">
        <f t="shared" si="23"/>
        <v/>
      </c>
    </row>
    <row r="90" spans="1:36" x14ac:dyDescent="0.35">
      <c r="A90" t="str">
        <f t="shared" si="24"/>
        <v>NO</v>
      </c>
      <c r="B90" t="str">
        <f t="shared" si="24"/>
        <v>NO</v>
      </c>
      <c r="C90" t="str">
        <f t="shared" si="17"/>
        <v>NO</v>
      </c>
      <c r="D90" t="str">
        <f t="shared" si="17"/>
        <v>NO</v>
      </c>
      <c r="E90" t="str">
        <f t="shared" si="17"/>
        <v>NO</v>
      </c>
      <c r="F90" t="str">
        <f t="shared" si="17"/>
        <v/>
      </c>
      <c r="H90" s="1196" t="str">
        <f t="shared" si="20"/>
        <v/>
      </c>
      <c r="Q90" t="str">
        <f t="shared" si="19"/>
        <v>NO</v>
      </c>
      <c r="R90" t="str">
        <f t="shared" si="19"/>
        <v>NO</v>
      </c>
      <c r="S90" t="str">
        <f t="shared" si="19"/>
        <v>NO</v>
      </c>
      <c r="T90" t="str">
        <f t="shared" si="19"/>
        <v>NO</v>
      </c>
      <c r="U90" t="str">
        <f t="shared" si="19"/>
        <v>NO</v>
      </c>
      <c r="V90" t="str">
        <f t="shared" si="19"/>
        <v/>
      </c>
      <c r="W90" t="str">
        <f t="shared" si="21"/>
        <v/>
      </c>
      <c r="X90" s="1196" t="str">
        <f t="shared" si="22"/>
        <v/>
      </c>
      <c r="AJ90" s="1196" t="str">
        <f t="shared" si="23"/>
        <v/>
      </c>
    </row>
    <row r="91" spans="1:36" x14ac:dyDescent="0.35">
      <c r="A91" t="str">
        <f t="shared" si="24"/>
        <v>NO</v>
      </c>
      <c r="B91" t="str">
        <f t="shared" si="24"/>
        <v>NO</v>
      </c>
      <c r="C91" t="str">
        <f t="shared" si="17"/>
        <v>NO</v>
      </c>
      <c r="D91" t="str">
        <f t="shared" si="17"/>
        <v>NO</v>
      </c>
      <c r="E91" t="str">
        <f t="shared" si="17"/>
        <v>NO</v>
      </c>
      <c r="F91" t="str">
        <f t="shared" si="17"/>
        <v/>
      </c>
      <c r="H91" s="1196" t="str">
        <f t="shared" si="20"/>
        <v/>
      </c>
      <c r="Q91" t="str">
        <f t="shared" ref="Q91:V122" si="25">IFERROR(IF($AA91=Q$2,_xlfn.CONCAT($Y91,$Z91),"NO"),0)</f>
        <v>NO</v>
      </c>
      <c r="R91" t="str">
        <f t="shared" si="25"/>
        <v>NO</v>
      </c>
      <c r="S91" t="str">
        <f t="shared" si="25"/>
        <v>NO</v>
      </c>
      <c r="T91" t="str">
        <f t="shared" si="25"/>
        <v>NO</v>
      </c>
      <c r="U91" t="str">
        <f t="shared" si="25"/>
        <v>NO</v>
      </c>
      <c r="V91" t="str">
        <f t="shared" si="25"/>
        <v/>
      </c>
      <c r="W91" t="str">
        <f t="shared" si="21"/>
        <v/>
      </c>
      <c r="X91" s="1196" t="str">
        <f t="shared" si="22"/>
        <v/>
      </c>
      <c r="AJ91" s="1196" t="str">
        <f t="shared" si="23"/>
        <v/>
      </c>
    </row>
    <row r="92" spans="1:36" x14ac:dyDescent="0.35">
      <c r="A92" t="str">
        <f t="shared" si="24"/>
        <v>NO</v>
      </c>
      <c r="B92" t="str">
        <f t="shared" si="24"/>
        <v>NO</v>
      </c>
      <c r="C92" t="str">
        <f t="shared" si="17"/>
        <v>NO</v>
      </c>
      <c r="D92" t="str">
        <f t="shared" si="17"/>
        <v>NO</v>
      </c>
      <c r="E92" t="str">
        <f t="shared" si="17"/>
        <v>NO</v>
      </c>
      <c r="F92" t="str">
        <f t="shared" si="17"/>
        <v/>
      </c>
      <c r="H92" s="1196" t="str">
        <f t="shared" si="20"/>
        <v/>
      </c>
      <c r="Q92" t="str">
        <f t="shared" si="25"/>
        <v>NO</v>
      </c>
      <c r="R92" t="str">
        <f t="shared" si="25"/>
        <v>NO</v>
      </c>
      <c r="S92" t="str">
        <f t="shared" si="25"/>
        <v>NO</v>
      </c>
      <c r="T92" t="str">
        <f t="shared" si="25"/>
        <v>NO</v>
      </c>
      <c r="U92" t="str">
        <f t="shared" si="25"/>
        <v>NO</v>
      </c>
      <c r="V92" t="str">
        <f t="shared" si="25"/>
        <v/>
      </c>
      <c r="W92" t="str">
        <f t="shared" si="21"/>
        <v/>
      </c>
      <c r="X92" s="1196" t="str">
        <f t="shared" si="22"/>
        <v/>
      </c>
      <c r="AJ92" s="1196" t="str">
        <f t="shared" si="23"/>
        <v/>
      </c>
    </row>
    <row r="93" spans="1:36" x14ac:dyDescent="0.35">
      <c r="A93" t="str">
        <f t="shared" si="24"/>
        <v>NO</v>
      </c>
      <c r="B93" t="str">
        <f t="shared" si="24"/>
        <v>NO</v>
      </c>
      <c r="C93" t="str">
        <f t="shared" si="17"/>
        <v>NO</v>
      </c>
      <c r="D93" t="str">
        <f t="shared" si="17"/>
        <v>NO</v>
      </c>
      <c r="E93" t="str">
        <f t="shared" si="17"/>
        <v>NO</v>
      </c>
      <c r="F93" t="str">
        <f t="shared" si="17"/>
        <v/>
      </c>
      <c r="H93" s="1196" t="str">
        <f t="shared" si="20"/>
        <v/>
      </c>
      <c r="Q93" t="str">
        <f t="shared" si="25"/>
        <v>NO</v>
      </c>
      <c r="R93" t="str">
        <f t="shared" si="25"/>
        <v>NO</v>
      </c>
      <c r="S93" t="str">
        <f t="shared" si="25"/>
        <v>NO</v>
      </c>
      <c r="T93" t="str">
        <f t="shared" si="25"/>
        <v>NO</v>
      </c>
      <c r="U93" t="str">
        <f t="shared" si="25"/>
        <v>NO</v>
      </c>
      <c r="V93" t="str">
        <f t="shared" si="25"/>
        <v/>
      </c>
      <c r="W93" t="str">
        <f t="shared" si="21"/>
        <v/>
      </c>
      <c r="X93" s="1196" t="str">
        <f t="shared" si="22"/>
        <v/>
      </c>
      <c r="AJ93" s="1196" t="str">
        <f t="shared" si="23"/>
        <v/>
      </c>
    </row>
    <row r="94" spans="1:36" x14ac:dyDescent="0.35">
      <c r="A94" t="str">
        <f t="shared" si="24"/>
        <v>NO</v>
      </c>
      <c r="B94" t="str">
        <f t="shared" si="24"/>
        <v>NO</v>
      </c>
      <c r="C94" t="str">
        <f t="shared" si="17"/>
        <v>NO</v>
      </c>
      <c r="D94" t="str">
        <f t="shared" si="17"/>
        <v>NO</v>
      </c>
      <c r="E94" t="str">
        <f t="shared" si="17"/>
        <v>NO</v>
      </c>
      <c r="F94" t="str">
        <f t="shared" si="17"/>
        <v/>
      </c>
      <c r="H94" s="1196" t="str">
        <f t="shared" si="20"/>
        <v/>
      </c>
      <c r="Q94" t="str">
        <f t="shared" si="25"/>
        <v>NO</v>
      </c>
      <c r="R94" t="str">
        <f t="shared" si="25"/>
        <v>NO</v>
      </c>
      <c r="S94" t="str">
        <f t="shared" si="25"/>
        <v>NO</v>
      </c>
      <c r="T94" t="str">
        <f t="shared" si="25"/>
        <v>NO</v>
      </c>
      <c r="U94" t="str">
        <f t="shared" si="25"/>
        <v>NO</v>
      </c>
      <c r="V94" t="str">
        <f t="shared" si="25"/>
        <v/>
      </c>
      <c r="W94" t="str">
        <f t="shared" si="21"/>
        <v/>
      </c>
      <c r="X94" s="1196" t="str">
        <f t="shared" si="22"/>
        <v/>
      </c>
      <c r="AJ94" s="1196" t="str">
        <f t="shared" si="23"/>
        <v/>
      </c>
    </row>
    <row r="95" spans="1:36" x14ac:dyDescent="0.35">
      <c r="A95" t="str">
        <f t="shared" si="24"/>
        <v>NO</v>
      </c>
      <c r="B95" t="str">
        <f t="shared" si="24"/>
        <v>NO</v>
      </c>
      <c r="C95" t="str">
        <f t="shared" si="17"/>
        <v>NO</v>
      </c>
      <c r="D95" t="str">
        <f t="shared" si="17"/>
        <v>NO</v>
      </c>
      <c r="E95" t="str">
        <f t="shared" si="17"/>
        <v>NO</v>
      </c>
      <c r="F95" t="str">
        <f t="shared" si="17"/>
        <v/>
      </c>
      <c r="H95" s="1196" t="str">
        <f t="shared" si="20"/>
        <v/>
      </c>
      <c r="Q95" t="str">
        <f t="shared" si="25"/>
        <v>NO</v>
      </c>
      <c r="R95" t="str">
        <f t="shared" si="25"/>
        <v>NO</v>
      </c>
      <c r="S95" t="str">
        <f t="shared" si="25"/>
        <v>NO</v>
      </c>
      <c r="T95" t="str">
        <f t="shared" si="25"/>
        <v>NO</v>
      </c>
      <c r="U95" t="str">
        <f t="shared" si="25"/>
        <v>NO</v>
      </c>
      <c r="V95" t="str">
        <f t="shared" si="25"/>
        <v/>
      </c>
      <c r="W95" t="str">
        <f t="shared" si="21"/>
        <v/>
      </c>
      <c r="X95" s="1196" t="str">
        <f t="shared" si="22"/>
        <v/>
      </c>
      <c r="AJ95" s="1196" t="str">
        <f t="shared" si="23"/>
        <v/>
      </c>
    </row>
    <row r="96" spans="1:36" x14ac:dyDescent="0.35">
      <c r="A96" t="str">
        <f t="shared" si="24"/>
        <v>NO</v>
      </c>
      <c r="B96" t="str">
        <f t="shared" si="24"/>
        <v>NO</v>
      </c>
      <c r="C96" t="str">
        <f t="shared" si="17"/>
        <v>NO</v>
      </c>
      <c r="D96" t="str">
        <f t="shared" si="17"/>
        <v>NO</v>
      </c>
      <c r="E96" t="str">
        <f t="shared" si="17"/>
        <v>NO</v>
      </c>
      <c r="F96" t="str">
        <f t="shared" si="17"/>
        <v/>
      </c>
      <c r="H96" s="1196" t="str">
        <f t="shared" si="20"/>
        <v/>
      </c>
      <c r="Q96" t="str">
        <f t="shared" si="25"/>
        <v>NO</v>
      </c>
      <c r="R96" t="str">
        <f t="shared" si="25"/>
        <v>NO</v>
      </c>
      <c r="S96" t="str">
        <f t="shared" si="25"/>
        <v>NO</v>
      </c>
      <c r="T96" t="str">
        <f t="shared" si="25"/>
        <v>NO</v>
      </c>
      <c r="U96" t="str">
        <f t="shared" si="25"/>
        <v>NO</v>
      </c>
      <c r="V96" t="str">
        <f t="shared" si="25"/>
        <v/>
      </c>
      <c r="W96" t="str">
        <f t="shared" si="21"/>
        <v/>
      </c>
      <c r="X96" s="1196" t="str">
        <f t="shared" si="22"/>
        <v/>
      </c>
      <c r="AJ96" s="1196" t="str">
        <f t="shared" si="23"/>
        <v/>
      </c>
    </row>
    <row r="97" spans="1:36" x14ac:dyDescent="0.35">
      <c r="A97" t="str">
        <f t="shared" si="24"/>
        <v>NO</v>
      </c>
      <c r="B97" t="str">
        <f t="shared" si="24"/>
        <v>NO</v>
      </c>
      <c r="C97" t="str">
        <f t="shared" si="17"/>
        <v>NO</v>
      </c>
      <c r="D97" t="str">
        <f t="shared" si="17"/>
        <v>NO</v>
      </c>
      <c r="E97" t="str">
        <f t="shared" si="17"/>
        <v>NO</v>
      </c>
      <c r="F97" t="str">
        <f t="shared" si="17"/>
        <v/>
      </c>
      <c r="H97" s="1196" t="str">
        <f t="shared" si="20"/>
        <v/>
      </c>
      <c r="Q97" t="str">
        <f t="shared" si="25"/>
        <v>NO</v>
      </c>
      <c r="R97" t="str">
        <f t="shared" si="25"/>
        <v>NO</v>
      </c>
      <c r="S97" t="str">
        <f t="shared" si="25"/>
        <v>NO</v>
      </c>
      <c r="T97" t="str">
        <f t="shared" si="25"/>
        <v>NO</v>
      </c>
      <c r="U97" t="str">
        <f t="shared" si="25"/>
        <v>NO</v>
      </c>
      <c r="V97" t="str">
        <f t="shared" si="25"/>
        <v/>
      </c>
      <c r="W97" t="str">
        <f t="shared" si="21"/>
        <v/>
      </c>
      <c r="X97" s="1196" t="str">
        <f t="shared" si="22"/>
        <v/>
      </c>
      <c r="AJ97" s="1196" t="str">
        <f t="shared" si="23"/>
        <v/>
      </c>
    </row>
    <row r="98" spans="1:36" x14ac:dyDescent="0.35">
      <c r="A98" t="str">
        <f t="shared" si="24"/>
        <v>NO</v>
      </c>
      <c r="B98" t="str">
        <f t="shared" si="24"/>
        <v>NO</v>
      </c>
      <c r="C98" t="str">
        <f t="shared" si="17"/>
        <v>NO</v>
      </c>
      <c r="D98" t="str">
        <f t="shared" si="17"/>
        <v>NO</v>
      </c>
      <c r="E98" t="str">
        <f t="shared" si="17"/>
        <v>NO</v>
      </c>
      <c r="F98" t="str">
        <f t="shared" si="17"/>
        <v/>
      </c>
      <c r="H98" s="1196" t="str">
        <f t="shared" si="20"/>
        <v/>
      </c>
      <c r="Q98" t="str">
        <f t="shared" si="25"/>
        <v>NO</v>
      </c>
      <c r="R98" t="str">
        <f t="shared" si="25"/>
        <v>NO</v>
      </c>
      <c r="S98" t="str">
        <f t="shared" si="25"/>
        <v>NO</v>
      </c>
      <c r="T98" t="str">
        <f t="shared" si="25"/>
        <v>NO</v>
      </c>
      <c r="U98" t="str">
        <f t="shared" si="25"/>
        <v>NO</v>
      </c>
      <c r="V98" t="str">
        <f t="shared" si="25"/>
        <v/>
      </c>
      <c r="W98" t="str">
        <f t="shared" si="21"/>
        <v/>
      </c>
      <c r="X98" s="1196" t="str">
        <f t="shared" si="22"/>
        <v/>
      </c>
      <c r="AJ98" s="1196" t="str">
        <f t="shared" si="23"/>
        <v/>
      </c>
    </row>
    <row r="99" spans="1:36" x14ac:dyDescent="0.35">
      <c r="A99" t="str">
        <f t="shared" si="24"/>
        <v>NO</v>
      </c>
      <c r="B99" t="str">
        <f t="shared" si="24"/>
        <v>NO</v>
      </c>
      <c r="C99" t="str">
        <f t="shared" si="17"/>
        <v>NO</v>
      </c>
      <c r="D99" t="str">
        <f t="shared" si="17"/>
        <v>NO</v>
      </c>
      <c r="E99" t="str">
        <f t="shared" si="17"/>
        <v>NO</v>
      </c>
      <c r="F99" t="str">
        <f t="shared" si="17"/>
        <v/>
      </c>
      <c r="H99" s="1196" t="str">
        <f t="shared" si="20"/>
        <v/>
      </c>
      <c r="Q99" t="str">
        <f t="shared" si="25"/>
        <v>NO</v>
      </c>
      <c r="R99" t="str">
        <f t="shared" si="25"/>
        <v>NO</v>
      </c>
      <c r="S99" t="str">
        <f t="shared" si="25"/>
        <v>NO</v>
      </c>
      <c r="T99" t="str">
        <f t="shared" si="25"/>
        <v>NO</v>
      </c>
      <c r="U99" t="str">
        <f t="shared" si="25"/>
        <v>NO</v>
      </c>
      <c r="V99" t="str">
        <f t="shared" si="25"/>
        <v/>
      </c>
      <c r="W99" t="str">
        <f t="shared" si="21"/>
        <v/>
      </c>
      <c r="X99" s="1196" t="str">
        <f t="shared" si="22"/>
        <v/>
      </c>
      <c r="AJ99" s="1196" t="str">
        <f t="shared" si="23"/>
        <v/>
      </c>
    </row>
    <row r="100" spans="1:36" x14ac:dyDescent="0.35">
      <c r="A100" t="str">
        <f t="shared" si="24"/>
        <v>NO</v>
      </c>
      <c r="B100" t="str">
        <f t="shared" si="24"/>
        <v>NO</v>
      </c>
      <c r="C100" t="str">
        <f t="shared" si="17"/>
        <v>NO</v>
      </c>
      <c r="D100" t="str">
        <f t="shared" si="17"/>
        <v>NO</v>
      </c>
      <c r="E100" t="str">
        <f t="shared" si="17"/>
        <v>NO</v>
      </c>
      <c r="F100" t="str">
        <f t="shared" si="17"/>
        <v/>
      </c>
      <c r="H100" s="1196" t="str">
        <f t="shared" si="20"/>
        <v/>
      </c>
      <c r="Q100" t="str">
        <f t="shared" si="25"/>
        <v>NO</v>
      </c>
      <c r="R100" t="str">
        <f t="shared" si="25"/>
        <v>NO</v>
      </c>
      <c r="S100" t="str">
        <f t="shared" si="25"/>
        <v>NO</v>
      </c>
      <c r="T100" t="str">
        <f t="shared" si="25"/>
        <v>NO</v>
      </c>
      <c r="U100" t="str">
        <f t="shared" si="25"/>
        <v>NO</v>
      </c>
      <c r="V100" t="str">
        <f t="shared" si="25"/>
        <v/>
      </c>
      <c r="W100" t="str">
        <f t="shared" si="21"/>
        <v/>
      </c>
      <c r="X100" s="1196" t="str">
        <f t="shared" si="22"/>
        <v/>
      </c>
      <c r="AJ100" s="1196" t="str">
        <f t="shared" si="23"/>
        <v/>
      </c>
    </row>
    <row r="101" spans="1:36" x14ac:dyDescent="0.35">
      <c r="A101" t="str">
        <f t="shared" si="24"/>
        <v>NO</v>
      </c>
      <c r="B101" t="str">
        <f t="shared" si="24"/>
        <v>NO</v>
      </c>
      <c r="C101" t="str">
        <f t="shared" si="17"/>
        <v>NO</v>
      </c>
      <c r="D101" t="str">
        <f t="shared" si="17"/>
        <v>NO</v>
      </c>
      <c r="E101" t="str">
        <f t="shared" si="17"/>
        <v>NO</v>
      </c>
      <c r="F101" t="str">
        <f t="shared" si="17"/>
        <v/>
      </c>
      <c r="H101" s="1196" t="str">
        <f t="shared" si="20"/>
        <v/>
      </c>
      <c r="Q101" t="str">
        <f t="shared" si="25"/>
        <v>NO</v>
      </c>
      <c r="R101" t="str">
        <f t="shared" si="25"/>
        <v>NO</v>
      </c>
      <c r="S101" t="str">
        <f t="shared" si="25"/>
        <v>NO</v>
      </c>
      <c r="T101" t="str">
        <f t="shared" si="25"/>
        <v>NO</v>
      </c>
      <c r="U101" t="str">
        <f t="shared" si="25"/>
        <v>NO</v>
      </c>
      <c r="V101" t="str">
        <f t="shared" si="25"/>
        <v/>
      </c>
      <c r="W101" t="str">
        <f t="shared" si="21"/>
        <v/>
      </c>
      <c r="X101" s="1196" t="str">
        <f t="shared" si="22"/>
        <v/>
      </c>
      <c r="AJ101" s="1196" t="str">
        <f t="shared" si="23"/>
        <v/>
      </c>
    </row>
    <row r="102" spans="1:36" x14ac:dyDescent="0.35">
      <c r="A102" t="str">
        <f t="shared" si="24"/>
        <v>NO</v>
      </c>
      <c r="B102" t="str">
        <f t="shared" si="24"/>
        <v>NO</v>
      </c>
      <c r="C102" t="str">
        <f t="shared" si="17"/>
        <v>NO</v>
      </c>
      <c r="D102" t="str">
        <f t="shared" si="17"/>
        <v>NO</v>
      </c>
      <c r="E102" t="str">
        <f t="shared" si="17"/>
        <v>NO</v>
      </c>
      <c r="F102" t="str">
        <f t="shared" si="17"/>
        <v/>
      </c>
      <c r="H102" s="1196" t="str">
        <f t="shared" si="20"/>
        <v/>
      </c>
      <c r="Q102" t="str">
        <f t="shared" si="25"/>
        <v>NO</v>
      </c>
      <c r="R102" t="str">
        <f t="shared" si="25"/>
        <v>NO</v>
      </c>
      <c r="S102" t="str">
        <f t="shared" si="25"/>
        <v>NO</v>
      </c>
      <c r="T102" t="str">
        <f t="shared" si="25"/>
        <v>NO</v>
      </c>
      <c r="U102" t="str">
        <f t="shared" si="25"/>
        <v>NO</v>
      </c>
      <c r="V102" t="str">
        <f t="shared" si="25"/>
        <v/>
      </c>
      <c r="W102" t="str">
        <f t="shared" si="21"/>
        <v/>
      </c>
      <c r="X102" s="1196" t="str">
        <f t="shared" si="22"/>
        <v/>
      </c>
      <c r="AJ102" s="1196" t="str">
        <f t="shared" si="23"/>
        <v/>
      </c>
    </row>
    <row r="103" spans="1:36" x14ac:dyDescent="0.35">
      <c r="A103" t="str">
        <f t="shared" si="24"/>
        <v>NO</v>
      </c>
      <c r="B103" t="str">
        <f t="shared" si="24"/>
        <v>NO</v>
      </c>
      <c r="C103" t="str">
        <f t="shared" si="17"/>
        <v>NO</v>
      </c>
      <c r="D103" t="str">
        <f t="shared" si="17"/>
        <v>NO</v>
      </c>
      <c r="E103" t="str">
        <f t="shared" si="17"/>
        <v>NO</v>
      </c>
      <c r="F103" t="str">
        <f t="shared" si="17"/>
        <v/>
      </c>
      <c r="H103" s="1196" t="str">
        <f t="shared" si="20"/>
        <v/>
      </c>
      <c r="Q103" t="str">
        <f t="shared" si="25"/>
        <v>NO</v>
      </c>
      <c r="R103" t="str">
        <f t="shared" si="25"/>
        <v>NO</v>
      </c>
      <c r="S103" t="str">
        <f t="shared" si="25"/>
        <v>NO</v>
      </c>
      <c r="T103" t="str">
        <f t="shared" si="25"/>
        <v>NO</v>
      </c>
      <c r="U103" t="str">
        <f t="shared" si="25"/>
        <v>NO</v>
      </c>
      <c r="V103" t="str">
        <f t="shared" si="25"/>
        <v/>
      </c>
      <c r="W103" t="str">
        <f t="shared" si="21"/>
        <v/>
      </c>
      <c r="X103" s="1196" t="str">
        <f t="shared" si="22"/>
        <v/>
      </c>
      <c r="AJ103" s="1196" t="str">
        <f t="shared" si="23"/>
        <v/>
      </c>
    </row>
    <row r="104" spans="1:36" x14ac:dyDescent="0.35">
      <c r="A104" t="str">
        <f t="shared" si="24"/>
        <v>NO</v>
      </c>
      <c r="B104" t="str">
        <f t="shared" si="24"/>
        <v>NO</v>
      </c>
      <c r="C104" t="str">
        <f t="shared" si="17"/>
        <v>NO</v>
      </c>
      <c r="D104" t="str">
        <f t="shared" si="17"/>
        <v>NO</v>
      </c>
      <c r="E104" t="str">
        <f t="shared" si="17"/>
        <v>NO</v>
      </c>
      <c r="F104" t="str">
        <f t="shared" si="17"/>
        <v/>
      </c>
      <c r="H104" s="1196" t="str">
        <f t="shared" si="20"/>
        <v/>
      </c>
      <c r="Q104" t="str">
        <f t="shared" si="25"/>
        <v>NO</v>
      </c>
      <c r="R104" t="str">
        <f t="shared" si="25"/>
        <v>NO</v>
      </c>
      <c r="S104" t="str">
        <f t="shared" si="25"/>
        <v>NO</v>
      </c>
      <c r="T104" t="str">
        <f t="shared" si="25"/>
        <v>NO</v>
      </c>
      <c r="U104" t="str">
        <f t="shared" si="25"/>
        <v>NO</v>
      </c>
      <c r="V104" t="str">
        <f t="shared" si="25"/>
        <v/>
      </c>
      <c r="W104" t="str">
        <f t="shared" si="21"/>
        <v/>
      </c>
      <c r="X104" s="1196" t="str">
        <f t="shared" si="22"/>
        <v/>
      </c>
      <c r="AJ104" s="1196" t="str">
        <f t="shared" si="23"/>
        <v/>
      </c>
    </row>
    <row r="105" spans="1:36" x14ac:dyDescent="0.35">
      <c r="A105" t="str">
        <f t="shared" si="24"/>
        <v>NO</v>
      </c>
      <c r="B105" t="str">
        <f t="shared" si="24"/>
        <v>NO</v>
      </c>
      <c r="C105" t="str">
        <f t="shared" si="17"/>
        <v>NO</v>
      </c>
      <c r="D105" t="str">
        <f t="shared" si="17"/>
        <v>NO</v>
      </c>
      <c r="E105" t="str">
        <f t="shared" si="17"/>
        <v>NO</v>
      </c>
      <c r="F105" t="str">
        <f t="shared" si="17"/>
        <v/>
      </c>
      <c r="H105" s="1196" t="str">
        <f t="shared" si="20"/>
        <v/>
      </c>
      <c r="Q105" t="str">
        <f t="shared" si="25"/>
        <v>NO</v>
      </c>
      <c r="R105" t="str">
        <f t="shared" si="25"/>
        <v>NO</v>
      </c>
      <c r="S105" t="str">
        <f t="shared" si="25"/>
        <v>NO</v>
      </c>
      <c r="T105" t="str">
        <f t="shared" si="25"/>
        <v>NO</v>
      </c>
      <c r="U105" t="str">
        <f t="shared" si="25"/>
        <v>NO</v>
      </c>
      <c r="V105" t="str">
        <f t="shared" si="25"/>
        <v/>
      </c>
      <c r="W105" t="str">
        <f t="shared" si="21"/>
        <v/>
      </c>
      <c r="X105" s="1196" t="str">
        <f t="shared" si="22"/>
        <v/>
      </c>
      <c r="AJ105" s="1196" t="str">
        <f t="shared" si="23"/>
        <v/>
      </c>
    </row>
    <row r="106" spans="1:36" x14ac:dyDescent="0.35">
      <c r="A106" t="str">
        <f t="shared" si="24"/>
        <v>NO</v>
      </c>
      <c r="B106" t="str">
        <f t="shared" si="24"/>
        <v>NO</v>
      </c>
      <c r="C106" t="str">
        <f t="shared" si="17"/>
        <v>NO</v>
      </c>
      <c r="D106" t="str">
        <f t="shared" si="17"/>
        <v>NO</v>
      </c>
      <c r="E106" t="str">
        <f t="shared" si="17"/>
        <v>NO</v>
      </c>
      <c r="F106" t="str">
        <f t="shared" si="17"/>
        <v/>
      </c>
      <c r="H106" s="1196" t="str">
        <f t="shared" si="20"/>
        <v/>
      </c>
      <c r="Q106" t="str">
        <f t="shared" si="25"/>
        <v>NO</v>
      </c>
      <c r="R106" t="str">
        <f t="shared" si="25"/>
        <v>NO</v>
      </c>
      <c r="S106" t="str">
        <f t="shared" si="25"/>
        <v>NO</v>
      </c>
      <c r="T106" t="str">
        <f t="shared" si="25"/>
        <v>NO</v>
      </c>
      <c r="U106" t="str">
        <f t="shared" si="25"/>
        <v>NO</v>
      </c>
      <c r="V106" t="str">
        <f t="shared" si="25"/>
        <v/>
      </c>
      <c r="W106" t="str">
        <f t="shared" si="21"/>
        <v/>
      </c>
      <c r="X106" s="1196" t="str">
        <f t="shared" si="22"/>
        <v/>
      </c>
      <c r="AJ106" s="1196" t="str">
        <f t="shared" si="23"/>
        <v/>
      </c>
    </row>
    <row r="107" spans="1:36" x14ac:dyDescent="0.35">
      <c r="A107" t="str">
        <f t="shared" si="24"/>
        <v>NO</v>
      </c>
      <c r="B107" t="str">
        <f t="shared" si="24"/>
        <v>NO</v>
      </c>
      <c r="C107" t="str">
        <f t="shared" si="17"/>
        <v>NO</v>
      </c>
      <c r="D107" t="str">
        <f t="shared" si="17"/>
        <v>NO</v>
      </c>
      <c r="E107" t="str">
        <f t="shared" si="17"/>
        <v>NO</v>
      </c>
      <c r="F107" t="str">
        <f t="shared" si="17"/>
        <v/>
      </c>
      <c r="H107" s="1196" t="str">
        <f t="shared" si="20"/>
        <v/>
      </c>
      <c r="Q107" t="str">
        <f t="shared" si="25"/>
        <v>NO</v>
      </c>
      <c r="R107" t="str">
        <f t="shared" si="25"/>
        <v>NO</v>
      </c>
      <c r="S107" t="str">
        <f t="shared" si="25"/>
        <v>NO</v>
      </c>
      <c r="T107" t="str">
        <f t="shared" si="25"/>
        <v>NO</v>
      </c>
      <c r="U107" t="str">
        <f t="shared" si="25"/>
        <v>NO</v>
      </c>
      <c r="V107" t="str">
        <f t="shared" si="25"/>
        <v/>
      </c>
      <c r="W107" t="str">
        <f t="shared" si="21"/>
        <v/>
      </c>
      <c r="X107" s="1196" t="str">
        <f t="shared" si="22"/>
        <v/>
      </c>
      <c r="AJ107" s="1196" t="str">
        <f t="shared" si="23"/>
        <v/>
      </c>
    </row>
    <row r="108" spans="1:36" x14ac:dyDescent="0.35">
      <c r="A108" t="str">
        <f t="shared" si="24"/>
        <v>NO</v>
      </c>
      <c r="B108" t="str">
        <f t="shared" si="24"/>
        <v>NO</v>
      </c>
      <c r="C108" t="str">
        <f t="shared" si="17"/>
        <v>NO</v>
      </c>
      <c r="D108" t="str">
        <f t="shared" si="17"/>
        <v>NO</v>
      </c>
      <c r="E108" t="str">
        <f t="shared" si="17"/>
        <v>NO</v>
      </c>
      <c r="F108" t="str">
        <f t="shared" si="17"/>
        <v/>
      </c>
      <c r="H108" s="1196" t="str">
        <f t="shared" si="20"/>
        <v/>
      </c>
      <c r="Q108" t="str">
        <f t="shared" si="25"/>
        <v>NO</v>
      </c>
      <c r="R108" t="str">
        <f t="shared" si="25"/>
        <v>NO</v>
      </c>
      <c r="S108" t="str">
        <f t="shared" si="25"/>
        <v>NO</v>
      </c>
      <c r="T108" t="str">
        <f t="shared" si="25"/>
        <v>NO</v>
      </c>
      <c r="U108" t="str">
        <f t="shared" si="25"/>
        <v>NO</v>
      </c>
      <c r="V108" t="str">
        <f t="shared" si="25"/>
        <v/>
      </c>
      <c r="W108" t="str">
        <f t="shared" si="21"/>
        <v/>
      </c>
      <c r="X108" s="1196" t="str">
        <f t="shared" si="22"/>
        <v/>
      </c>
      <c r="AJ108" s="1196" t="str">
        <f t="shared" si="23"/>
        <v/>
      </c>
    </row>
    <row r="109" spans="1:36" x14ac:dyDescent="0.35">
      <c r="A109" t="str">
        <f t="shared" si="24"/>
        <v>NO</v>
      </c>
      <c r="B109" t="str">
        <f t="shared" si="24"/>
        <v>NO</v>
      </c>
      <c r="C109" t="str">
        <f t="shared" si="17"/>
        <v>NO</v>
      </c>
      <c r="D109" t="str">
        <f t="shared" si="17"/>
        <v>NO</v>
      </c>
      <c r="E109" t="str">
        <f t="shared" si="17"/>
        <v>NO</v>
      </c>
      <c r="F109" t="str">
        <f t="shared" si="17"/>
        <v/>
      </c>
      <c r="H109" s="1196" t="str">
        <f t="shared" si="20"/>
        <v/>
      </c>
      <c r="Q109" t="str">
        <f t="shared" si="25"/>
        <v>NO</v>
      </c>
      <c r="R109" t="str">
        <f t="shared" si="25"/>
        <v>NO</v>
      </c>
      <c r="S109" t="str">
        <f t="shared" si="25"/>
        <v>NO</v>
      </c>
      <c r="T109" t="str">
        <f t="shared" si="25"/>
        <v>NO</v>
      </c>
      <c r="U109" t="str">
        <f t="shared" si="25"/>
        <v>NO</v>
      </c>
      <c r="V109" t="str">
        <f t="shared" si="25"/>
        <v/>
      </c>
      <c r="W109" t="str">
        <f t="shared" si="21"/>
        <v/>
      </c>
      <c r="X109" s="1196" t="str">
        <f t="shared" si="22"/>
        <v/>
      </c>
      <c r="AJ109" s="1196" t="str">
        <f t="shared" si="23"/>
        <v/>
      </c>
    </row>
    <row r="110" spans="1:36" x14ac:dyDescent="0.35">
      <c r="A110" t="str">
        <f t="shared" si="24"/>
        <v>NO</v>
      </c>
      <c r="B110" t="str">
        <f t="shared" si="24"/>
        <v>NO</v>
      </c>
      <c r="C110" t="str">
        <f t="shared" si="17"/>
        <v>NO</v>
      </c>
      <c r="D110" t="str">
        <f t="shared" si="17"/>
        <v>NO</v>
      </c>
      <c r="E110" t="str">
        <f t="shared" si="17"/>
        <v>NO</v>
      </c>
      <c r="F110" t="str">
        <f t="shared" si="17"/>
        <v/>
      </c>
      <c r="H110" s="1196" t="str">
        <f t="shared" si="20"/>
        <v/>
      </c>
      <c r="Q110" t="str">
        <f t="shared" si="25"/>
        <v>NO</v>
      </c>
      <c r="R110" t="str">
        <f t="shared" si="25"/>
        <v>NO</v>
      </c>
      <c r="S110" t="str">
        <f t="shared" si="25"/>
        <v>NO</v>
      </c>
      <c r="T110" t="str">
        <f t="shared" si="25"/>
        <v>NO</v>
      </c>
      <c r="U110" t="str">
        <f t="shared" si="25"/>
        <v>NO</v>
      </c>
      <c r="V110" t="str">
        <f t="shared" si="25"/>
        <v/>
      </c>
      <c r="W110" t="str">
        <f t="shared" si="21"/>
        <v/>
      </c>
      <c r="X110" s="1196" t="str">
        <f t="shared" si="22"/>
        <v/>
      </c>
      <c r="AJ110" s="1196" t="str">
        <f t="shared" si="23"/>
        <v/>
      </c>
    </row>
    <row r="111" spans="1:36" x14ac:dyDescent="0.35">
      <c r="A111" t="str">
        <f t="shared" si="24"/>
        <v>NO</v>
      </c>
      <c r="B111" t="str">
        <f t="shared" si="24"/>
        <v>NO</v>
      </c>
      <c r="C111" t="str">
        <f t="shared" si="17"/>
        <v>NO</v>
      </c>
      <c r="D111" t="str">
        <f t="shared" si="17"/>
        <v>NO</v>
      </c>
      <c r="E111" t="str">
        <f t="shared" si="17"/>
        <v>NO</v>
      </c>
      <c r="F111" t="str">
        <f t="shared" si="17"/>
        <v/>
      </c>
      <c r="H111" s="1196" t="str">
        <f t="shared" si="20"/>
        <v/>
      </c>
      <c r="Q111" t="str">
        <f t="shared" si="25"/>
        <v>NO</v>
      </c>
      <c r="R111" t="str">
        <f t="shared" si="25"/>
        <v>NO</v>
      </c>
      <c r="S111" t="str">
        <f t="shared" si="25"/>
        <v>NO</v>
      </c>
      <c r="T111" t="str">
        <f t="shared" si="25"/>
        <v>NO</v>
      </c>
      <c r="U111" t="str">
        <f t="shared" si="25"/>
        <v>NO</v>
      </c>
      <c r="V111" t="str">
        <f t="shared" si="25"/>
        <v/>
      </c>
      <c r="W111" t="str">
        <f t="shared" si="21"/>
        <v/>
      </c>
      <c r="X111" s="1196" t="str">
        <f t="shared" si="22"/>
        <v/>
      </c>
      <c r="AJ111" s="1196" t="str">
        <f t="shared" si="23"/>
        <v/>
      </c>
    </row>
    <row r="112" spans="1:36" x14ac:dyDescent="0.35">
      <c r="A112" t="str">
        <f t="shared" si="24"/>
        <v>NO</v>
      </c>
      <c r="B112" t="str">
        <f t="shared" si="24"/>
        <v>NO</v>
      </c>
      <c r="C112" t="str">
        <f t="shared" si="17"/>
        <v>NO</v>
      </c>
      <c r="D112" t="str">
        <f t="shared" si="17"/>
        <v>NO</v>
      </c>
      <c r="E112" t="str">
        <f t="shared" si="17"/>
        <v>NO</v>
      </c>
      <c r="F112" t="str">
        <f t="shared" si="17"/>
        <v/>
      </c>
      <c r="H112" s="1196" t="str">
        <f t="shared" si="20"/>
        <v/>
      </c>
      <c r="Q112" t="str">
        <f t="shared" si="25"/>
        <v>NO</v>
      </c>
      <c r="R112" t="str">
        <f t="shared" si="25"/>
        <v>NO</v>
      </c>
      <c r="S112" t="str">
        <f t="shared" si="25"/>
        <v>NO</v>
      </c>
      <c r="T112" t="str">
        <f t="shared" si="25"/>
        <v>NO</v>
      </c>
      <c r="U112" t="str">
        <f t="shared" si="25"/>
        <v>NO</v>
      </c>
      <c r="V112" t="str">
        <f t="shared" si="25"/>
        <v/>
      </c>
      <c r="W112" t="str">
        <f t="shared" si="21"/>
        <v/>
      </c>
      <c r="X112" s="1196" t="str">
        <f t="shared" si="22"/>
        <v/>
      </c>
      <c r="AJ112" s="1196" t="str">
        <f t="shared" si="23"/>
        <v/>
      </c>
    </row>
    <row r="113" spans="1:36" x14ac:dyDescent="0.35">
      <c r="A113" t="str">
        <f t="shared" si="24"/>
        <v>NO</v>
      </c>
      <c r="B113" t="str">
        <f t="shared" si="24"/>
        <v>NO</v>
      </c>
      <c r="C113" t="str">
        <f t="shared" si="17"/>
        <v>NO</v>
      </c>
      <c r="D113" t="str">
        <f t="shared" si="17"/>
        <v>NO</v>
      </c>
      <c r="E113" t="str">
        <f t="shared" si="17"/>
        <v>NO</v>
      </c>
      <c r="F113" t="str">
        <f t="shared" si="17"/>
        <v/>
      </c>
      <c r="H113" s="1196" t="str">
        <f t="shared" si="20"/>
        <v/>
      </c>
      <c r="Q113" t="str">
        <f t="shared" si="25"/>
        <v>NO</v>
      </c>
      <c r="R113" t="str">
        <f t="shared" si="25"/>
        <v>NO</v>
      </c>
      <c r="S113" t="str">
        <f t="shared" si="25"/>
        <v>NO</v>
      </c>
      <c r="T113" t="str">
        <f t="shared" si="25"/>
        <v>NO</v>
      </c>
      <c r="U113" t="str">
        <f t="shared" si="25"/>
        <v>NO</v>
      </c>
      <c r="V113" t="str">
        <f t="shared" si="25"/>
        <v/>
      </c>
      <c r="W113" t="str">
        <f t="shared" si="21"/>
        <v/>
      </c>
      <c r="X113" s="1196" t="str">
        <f t="shared" si="22"/>
        <v/>
      </c>
      <c r="AJ113" s="1196" t="str">
        <f t="shared" si="23"/>
        <v/>
      </c>
    </row>
    <row r="114" spans="1:36" x14ac:dyDescent="0.35">
      <c r="A114" t="str">
        <f t="shared" si="24"/>
        <v>NO</v>
      </c>
      <c r="B114" t="str">
        <f t="shared" si="24"/>
        <v>NO</v>
      </c>
      <c r="C114" t="str">
        <f t="shared" si="17"/>
        <v>NO</v>
      </c>
      <c r="D114" t="str">
        <f t="shared" si="17"/>
        <v>NO</v>
      </c>
      <c r="E114" t="str">
        <f t="shared" si="17"/>
        <v>NO</v>
      </c>
      <c r="F114" t="str">
        <f t="shared" si="17"/>
        <v/>
      </c>
      <c r="H114" s="1196" t="str">
        <f t="shared" si="20"/>
        <v/>
      </c>
      <c r="Q114" t="str">
        <f t="shared" si="25"/>
        <v>NO</v>
      </c>
      <c r="R114" t="str">
        <f t="shared" si="25"/>
        <v>NO</v>
      </c>
      <c r="S114" t="str">
        <f t="shared" si="25"/>
        <v>NO</v>
      </c>
      <c r="T114" t="str">
        <f t="shared" si="25"/>
        <v>NO</v>
      </c>
      <c r="U114" t="str">
        <f t="shared" si="25"/>
        <v>NO</v>
      </c>
      <c r="V114" t="str">
        <f t="shared" si="25"/>
        <v/>
      </c>
      <c r="W114" t="str">
        <f t="shared" si="21"/>
        <v/>
      </c>
      <c r="X114" s="1196" t="str">
        <f t="shared" si="22"/>
        <v/>
      </c>
      <c r="AJ114" s="1196" t="str">
        <f t="shared" si="23"/>
        <v/>
      </c>
    </row>
    <row r="115" spans="1:36" x14ac:dyDescent="0.35">
      <c r="A115" t="str">
        <f t="shared" si="24"/>
        <v>NO</v>
      </c>
      <c r="B115" t="str">
        <f t="shared" si="24"/>
        <v>NO</v>
      </c>
      <c r="C115" t="str">
        <f t="shared" si="17"/>
        <v>NO</v>
      </c>
      <c r="D115" t="str">
        <f t="shared" si="17"/>
        <v>NO</v>
      </c>
      <c r="E115" t="str">
        <f t="shared" si="17"/>
        <v>NO</v>
      </c>
      <c r="F115" t="str">
        <f t="shared" si="17"/>
        <v/>
      </c>
      <c r="H115" s="1196" t="str">
        <f t="shared" si="20"/>
        <v/>
      </c>
      <c r="Q115" t="str">
        <f t="shared" si="25"/>
        <v>NO</v>
      </c>
      <c r="R115" t="str">
        <f t="shared" si="25"/>
        <v>NO</v>
      </c>
      <c r="S115" t="str">
        <f t="shared" si="25"/>
        <v>NO</v>
      </c>
      <c r="T115" t="str">
        <f t="shared" si="25"/>
        <v>NO</v>
      </c>
      <c r="U115" t="str">
        <f t="shared" si="25"/>
        <v>NO</v>
      </c>
      <c r="V115" t="str">
        <f t="shared" si="25"/>
        <v/>
      </c>
      <c r="W115" t="str">
        <f t="shared" si="21"/>
        <v/>
      </c>
      <c r="X115" s="1196" t="str">
        <f t="shared" si="22"/>
        <v/>
      </c>
      <c r="AJ115" s="1196" t="str">
        <f t="shared" si="23"/>
        <v/>
      </c>
    </row>
    <row r="116" spans="1:36" x14ac:dyDescent="0.35">
      <c r="A116" t="str">
        <f t="shared" si="24"/>
        <v>NO</v>
      </c>
      <c r="B116" t="str">
        <f t="shared" si="24"/>
        <v>NO</v>
      </c>
      <c r="C116" t="str">
        <f t="shared" si="17"/>
        <v>NO</v>
      </c>
      <c r="D116" t="str">
        <f t="shared" si="17"/>
        <v>NO</v>
      </c>
      <c r="E116" t="str">
        <f t="shared" si="17"/>
        <v>NO</v>
      </c>
      <c r="F116" t="str">
        <f t="shared" si="17"/>
        <v/>
      </c>
      <c r="H116" s="1196" t="str">
        <f t="shared" si="20"/>
        <v/>
      </c>
      <c r="Q116" t="str">
        <f t="shared" si="25"/>
        <v>NO</v>
      </c>
      <c r="R116" t="str">
        <f t="shared" si="25"/>
        <v>NO</v>
      </c>
      <c r="S116" t="str">
        <f t="shared" si="25"/>
        <v>NO</v>
      </c>
      <c r="T116" t="str">
        <f t="shared" si="25"/>
        <v>NO</v>
      </c>
      <c r="U116" t="str">
        <f t="shared" si="25"/>
        <v>NO</v>
      </c>
      <c r="V116" t="str">
        <f t="shared" si="25"/>
        <v/>
      </c>
      <c r="W116" t="str">
        <f t="shared" si="21"/>
        <v/>
      </c>
      <c r="X116" s="1196" t="str">
        <f t="shared" si="22"/>
        <v/>
      </c>
      <c r="AJ116" s="1196" t="str">
        <f t="shared" si="23"/>
        <v/>
      </c>
    </row>
    <row r="117" spans="1:36" x14ac:dyDescent="0.35">
      <c r="A117" t="str">
        <f t="shared" si="24"/>
        <v>NO</v>
      </c>
      <c r="B117" t="str">
        <f t="shared" si="24"/>
        <v>NO</v>
      </c>
      <c r="C117" t="str">
        <f t="shared" si="17"/>
        <v>NO</v>
      </c>
      <c r="D117" t="str">
        <f t="shared" si="17"/>
        <v>NO</v>
      </c>
      <c r="E117" t="str">
        <f t="shared" si="17"/>
        <v>NO</v>
      </c>
      <c r="F117" t="str">
        <f t="shared" si="17"/>
        <v/>
      </c>
      <c r="H117" s="1196" t="str">
        <f t="shared" si="20"/>
        <v/>
      </c>
      <c r="Q117" t="str">
        <f t="shared" si="25"/>
        <v>NO</v>
      </c>
      <c r="R117" t="str">
        <f t="shared" si="25"/>
        <v>NO</v>
      </c>
      <c r="S117" t="str">
        <f t="shared" si="25"/>
        <v>NO</v>
      </c>
      <c r="T117" t="str">
        <f t="shared" si="25"/>
        <v>NO</v>
      </c>
      <c r="U117" t="str">
        <f t="shared" si="25"/>
        <v>NO</v>
      </c>
      <c r="V117" t="str">
        <f t="shared" si="25"/>
        <v/>
      </c>
      <c r="W117" t="str">
        <f t="shared" si="21"/>
        <v/>
      </c>
      <c r="X117" s="1196" t="str">
        <f t="shared" si="22"/>
        <v/>
      </c>
      <c r="AJ117" s="1196" t="str">
        <f t="shared" si="23"/>
        <v/>
      </c>
    </row>
    <row r="118" spans="1:36" x14ac:dyDescent="0.35">
      <c r="A118" t="str">
        <f t="shared" si="24"/>
        <v>NO</v>
      </c>
      <c r="B118" t="str">
        <f t="shared" si="24"/>
        <v>NO</v>
      </c>
      <c r="C118" t="str">
        <f t="shared" si="17"/>
        <v>NO</v>
      </c>
      <c r="D118" t="str">
        <f t="shared" si="17"/>
        <v>NO</v>
      </c>
      <c r="E118" t="str">
        <f t="shared" si="17"/>
        <v>NO</v>
      </c>
      <c r="F118" t="str">
        <f t="shared" si="17"/>
        <v/>
      </c>
      <c r="H118" s="1196" t="str">
        <f t="shared" si="20"/>
        <v/>
      </c>
      <c r="Q118" t="str">
        <f t="shared" si="25"/>
        <v>NO</v>
      </c>
      <c r="R118" t="str">
        <f t="shared" si="25"/>
        <v>NO</v>
      </c>
      <c r="S118" t="str">
        <f t="shared" si="25"/>
        <v>NO</v>
      </c>
      <c r="T118" t="str">
        <f t="shared" si="25"/>
        <v>NO</v>
      </c>
      <c r="U118" t="str">
        <f t="shared" si="25"/>
        <v>NO</v>
      </c>
      <c r="V118" t="str">
        <f t="shared" si="25"/>
        <v/>
      </c>
      <c r="W118" t="str">
        <f t="shared" si="21"/>
        <v/>
      </c>
      <c r="X118" s="1196" t="str">
        <f t="shared" si="22"/>
        <v/>
      </c>
      <c r="AJ118" s="1196" t="str">
        <f t="shared" si="23"/>
        <v/>
      </c>
    </row>
    <row r="119" spans="1:36" x14ac:dyDescent="0.35">
      <c r="A119" t="str">
        <f t="shared" si="24"/>
        <v>NO</v>
      </c>
      <c r="B119" t="str">
        <f t="shared" si="24"/>
        <v>NO</v>
      </c>
      <c r="C119" t="str">
        <f t="shared" si="17"/>
        <v>NO</v>
      </c>
      <c r="D119" t="str">
        <f t="shared" si="17"/>
        <v>NO</v>
      </c>
      <c r="E119" t="str">
        <f t="shared" si="17"/>
        <v>NO</v>
      </c>
      <c r="F119" t="str">
        <f t="shared" si="17"/>
        <v/>
      </c>
      <c r="H119" s="1196" t="str">
        <f t="shared" si="20"/>
        <v/>
      </c>
      <c r="Q119" t="str">
        <f t="shared" si="25"/>
        <v>NO</v>
      </c>
      <c r="R119" t="str">
        <f t="shared" si="25"/>
        <v>NO</v>
      </c>
      <c r="S119" t="str">
        <f t="shared" si="25"/>
        <v>NO</v>
      </c>
      <c r="T119" t="str">
        <f t="shared" si="25"/>
        <v>NO</v>
      </c>
      <c r="U119" t="str">
        <f t="shared" si="25"/>
        <v>NO</v>
      </c>
      <c r="V119" t="str">
        <f t="shared" si="25"/>
        <v/>
      </c>
      <c r="W119" t="str">
        <f t="shared" si="21"/>
        <v/>
      </c>
      <c r="X119" s="1196" t="str">
        <f t="shared" si="22"/>
        <v/>
      </c>
      <c r="AJ119" s="1196" t="str">
        <f t="shared" si="23"/>
        <v/>
      </c>
    </row>
    <row r="120" spans="1:36" x14ac:dyDescent="0.35">
      <c r="A120" t="str">
        <f t="shared" si="24"/>
        <v>NO</v>
      </c>
      <c r="B120" t="str">
        <f t="shared" si="24"/>
        <v>NO</v>
      </c>
      <c r="C120" t="str">
        <f t="shared" si="24"/>
        <v>NO</v>
      </c>
      <c r="D120" t="str">
        <f t="shared" si="24"/>
        <v>NO</v>
      </c>
      <c r="E120" t="str">
        <f t="shared" si="24"/>
        <v>NO</v>
      </c>
      <c r="F120" t="str">
        <f t="shared" si="24"/>
        <v/>
      </c>
      <c r="H120" s="1196" t="str">
        <f t="shared" si="20"/>
        <v/>
      </c>
      <c r="Q120" t="str">
        <f t="shared" si="25"/>
        <v>NO</v>
      </c>
      <c r="R120" t="str">
        <f t="shared" si="25"/>
        <v>NO</v>
      </c>
      <c r="S120" t="str">
        <f t="shared" si="25"/>
        <v>NO</v>
      </c>
      <c r="T120" t="str">
        <f t="shared" si="25"/>
        <v>NO</v>
      </c>
      <c r="U120" t="str">
        <f t="shared" si="25"/>
        <v>NO</v>
      </c>
      <c r="V120" t="str">
        <f t="shared" si="25"/>
        <v/>
      </c>
      <c r="W120" t="str">
        <f t="shared" si="21"/>
        <v/>
      </c>
      <c r="X120" s="1196" t="str">
        <f t="shared" si="22"/>
        <v/>
      </c>
      <c r="AJ120" s="1196" t="str">
        <f t="shared" si="23"/>
        <v/>
      </c>
    </row>
    <row r="121" spans="1:36" x14ac:dyDescent="0.35">
      <c r="A121" t="str">
        <f t="shared" ref="A121:F152" si="26">IFERROR(IF($K121=A$2,_xlfn.CONCAT($I121,$J121),"NO"),0)</f>
        <v>NO</v>
      </c>
      <c r="B121" t="str">
        <f t="shared" si="26"/>
        <v>NO</v>
      </c>
      <c r="C121" t="str">
        <f t="shared" si="26"/>
        <v>NO</v>
      </c>
      <c r="D121" t="str">
        <f t="shared" si="26"/>
        <v>NO</v>
      </c>
      <c r="E121" t="str">
        <f t="shared" si="26"/>
        <v>NO</v>
      </c>
      <c r="F121" t="str">
        <f t="shared" si="26"/>
        <v/>
      </c>
      <c r="H121" s="1196" t="str">
        <f t="shared" si="20"/>
        <v/>
      </c>
      <c r="Q121" t="str">
        <f t="shared" si="25"/>
        <v>NO</v>
      </c>
      <c r="R121" t="str">
        <f t="shared" si="25"/>
        <v>NO</v>
      </c>
      <c r="S121" t="str">
        <f t="shared" si="25"/>
        <v>NO</v>
      </c>
      <c r="T121" t="str">
        <f t="shared" si="25"/>
        <v>NO</v>
      </c>
      <c r="U121" t="str">
        <f t="shared" si="25"/>
        <v>NO</v>
      </c>
      <c r="V121" t="str">
        <f t="shared" si="25"/>
        <v/>
      </c>
      <c r="W121" t="str">
        <f t="shared" si="21"/>
        <v/>
      </c>
      <c r="X121" s="1196" t="str">
        <f t="shared" si="22"/>
        <v/>
      </c>
      <c r="AJ121" s="1196" t="str">
        <f t="shared" si="23"/>
        <v/>
      </c>
    </row>
    <row r="122" spans="1:36" x14ac:dyDescent="0.35">
      <c r="A122" t="str">
        <f t="shared" si="26"/>
        <v>NO</v>
      </c>
      <c r="B122" t="str">
        <f t="shared" si="26"/>
        <v>NO</v>
      </c>
      <c r="C122" t="str">
        <f t="shared" si="26"/>
        <v>NO</v>
      </c>
      <c r="D122" t="str">
        <f t="shared" si="26"/>
        <v>NO</v>
      </c>
      <c r="E122" t="str">
        <f t="shared" si="26"/>
        <v>NO</v>
      </c>
      <c r="F122" t="str">
        <f t="shared" si="26"/>
        <v/>
      </c>
      <c r="H122" s="1196" t="str">
        <f t="shared" si="20"/>
        <v/>
      </c>
      <c r="Q122" t="str">
        <f t="shared" si="25"/>
        <v>NO</v>
      </c>
      <c r="R122" t="str">
        <f t="shared" si="25"/>
        <v>NO</v>
      </c>
      <c r="S122" t="str">
        <f t="shared" si="25"/>
        <v>NO</v>
      </c>
      <c r="T122" t="str">
        <f t="shared" si="25"/>
        <v>NO</v>
      </c>
      <c r="U122" t="str">
        <f t="shared" si="25"/>
        <v>NO</v>
      </c>
      <c r="V122" t="str">
        <f t="shared" si="25"/>
        <v/>
      </c>
      <c r="W122" t="str">
        <f t="shared" si="21"/>
        <v/>
      </c>
      <c r="X122" s="1196" t="str">
        <f t="shared" si="22"/>
        <v/>
      </c>
      <c r="AJ122" s="1196" t="str">
        <f t="shared" si="23"/>
        <v/>
      </c>
    </row>
    <row r="123" spans="1:36" x14ac:dyDescent="0.35">
      <c r="A123" t="str">
        <f t="shared" si="26"/>
        <v>NO</v>
      </c>
      <c r="B123" t="str">
        <f t="shared" si="26"/>
        <v>NO</v>
      </c>
      <c r="C123" t="str">
        <f t="shared" si="26"/>
        <v>NO</v>
      </c>
      <c r="D123" t="str">
        <f t="shared" si="26"/>
        <v>NO</v>
      </c>
      <c r="E123" t="str">
        <f t="shared" si="26"/>
        <v>NO</v>
      </c>
      <c r="F123" t="str">
        <f t="shared" si="26"/>
        <v/>
      </c>
      <c r="H123" s="1196" t="str">
        <f t="shared" si="20"/>
        <v/>
      </c>
      <c r="Q123" t="str">
        <f t="shared" ref="Q123:V154" si="27">IFERROR(IF($AA123=Q$2,_xlfn.CONCAT($Y123,$Z123),"NO"),0)</f>
        <v>NO</v>
      </c>
      <c r="R123" t="str">
        <f t="shared" si="27"/>
        <v>NO</v>
      </c>
      <c r="S123" t="str">
        <f t="shared" si="27"/>
        <v>NO</v>
      </c>
      <c r="T123" t="str">
        <f t="shared" si="27"/>
        <v>NO</v>
      </c>
      <c r="U123" t="str">
        <f t="shared" si="27"/>
        <v>NO</v>
      </c>
      <c r="V123" t="str">
        <f t="shared" si="27"/>
        <v/>
      </c>
      <c r="W123" t="str">
        <f t="shared" si="21"/>
        <v/>
      </c>
      <c r="X123" s="1196" t="str">
        <f t="shared" si="22"/>
        <v/>
      </c>
      <c r="AJ123" s="1196" t="str">
        <f t="shared" si="23"/>
        <v/>
      </c>
    </row>
    <row r="124" spans="1:36" x14ac:dyDescent="0.35">
      <c r="A124" t="str">
        <f t="shared" si="26"/>
        <v>NO</v>
      </c>
      <c r="B124" t="str">
        <f t="shared" si="26"/>
        <v>NO</v>
      </c>
      <c r="C124" t="str">
        <f t="shared" si="26"/>
        <v>NO</v>
      </c>
      <c r="D124" t="str">
        <f t="shared" si="26"/>
        <v>NO</v>
      </c>
      <c r="E124" t="str">
        <f t="shared" si="26"/>
        <v>NO</v>
      </c>
      <c r="F124" t="str">
        <f t="shared" si="26"/>
        <v/>
      </c>
      <c r="H124" s="1196" t="str">
        <f t="shared" si="20"/>
        <v/>
      </c>
      <c r="Q124" t="str">
        <f t="shared" si="27"/>
        <v>NO</v>
      </c>
      <c r="R124" t="str">
        <f t="shared" si="27"/>
        <v>NO</v>
      </c>
      <c r="S124" t="str">
        <f t="shared" si="27"/>
        <v>NO</v>
      </c>
      <c r="T124" t="str">
        <f t="shared" si="27"/>
        <v>NO</v>
      </c>
      <c r="U124" t="str">
        <f t="shared" si="27"/>
        <v>NO</v>
      </c>
      <c r="V124" t="str">
        <f t="shared" si="27"/>
        <v/>
      </c>
      <c r="W124" t="str">
        <f t="shared" si="21"/>
        <v/>
      </c>
      <c r="X124" s="1196" t="str">
        <f t="shared" si="22"/>
        <v/>
      </c>
      <c r="AJ124" s="1196" t="str">
        <f t="shared" si="23"/>
        <v/>
      </c>
    </row>
    <row r="125" spans="1:36" x14ac:dyDescent="0.35">
      <c r="A125" t="str">
        <f t="shared" si="26"/>
        <v>NO</v>
      </c>
      <c r="B125" t="str">
        <f t="shared" si="26"/>
        <v>NO</v>
      </c>
      <c r="C125" t="str">
        <f t="shared" si="26"/>
        <v>NO</v>
      </c>
      <c r="D125" t="str">
        <f t="shared" si="26"/>
        <v>NO</v>
      </c>
      <c r="E125" t="str">
        <f t="shared" si="26"/>
        <v>NO</v>
      </c>
      <c r="F125" t="str">
        <f t="shared" si="26"/>
        <v/>
      </c>
      <c r="H125" s="1196" t="str">
        <f t="shared" si="20"/>
        <v/>
      </c>
      <c r="Q125" t="str">
        <f t="shared" si="27"/>
        <v>NO</v>
      </c>
      <c r="R125" t="str">
        <f t="shared" si="27"/>
        <v>NO</v>
      </c>
      <c r="S125" t="str">
        <f t="shared" si="27"/>
        <v>NO</v>
      </c>
      <c r="T125" t="str">
        <f t="shared" si="27"/>
        <v>NO</v>
      </c>
      <c r="U125" t="str">
        <f t="shared" si="27"/>
        <v>NO</v>
      </c>
      <c r="V125" t="str">
        <f t="shared" si="27"/>
        <v/>
      </c>
      <c r="W125" t="str">
        <f t="shared" si="21"/>
        <v/>
      </c>
      <c r="X125" s="1196" t="str">
        <f t="shared" si="22"/>
        <v/>
      </c>
      <c r="AJ125" s="1196" t="str">
        <f t="shared" si="23"/>
        <v/>
      </c>
    </row>
    <row r="126" spans="1:36" x14ac:dyDescent="0.35">
      <c r="A126" t="str">
        <f t="shared" si="26"/>
        <v>NO</v>
      </c>
      <c r="B126" t="str">
        <f t="shared" si="26"/>
        <v>NO</v>
      </c>
      <c r="C126" t="str">
        <f t="shared" si="26"/>
        <v>NO</v>
      </c>
      <c r="D126" t="str">
        <f t="shared" si="26"/>
        <v>NO</v>
      </c>
      <c r="E126" t="str">
        <f t="shared" si="26"/>
        <v>NO</v>
      </c>
      <c r="F126" t="str">
        <f t="shared" si="26"/>
        <v/>
      </c>
      <c r="H126" s="1196" t="str">
        <f t="shared" si="20"/>
        <v/>
      </c>
      <c r="Q126" t="str">
        <f t="shared" si="27"/>
        <v>NO</v>
      </c>
      <c r="R126" t="str">
        <f t="shared" si="27"/>
        <v>NO</v>
      </c>
      <c r="S126" t="str">
        <f t="shared" si="27"/>
        <v>NO</v>
      </c>
      <c r="T126" t="str">
        <f t="shared" si="27"/>
        <v>NO</v>
      </c>
      <c r="U126" t="str">
        <f t="shared" si="27"/>
        <v>NO</v>
      </c>
      <c r="V126" t="str">
        <f t="shared" si="27"/>
        <v/>
      </c>
      <c r="W126" t="str">
        <f t="shared" si="21"/>
        <v/>
      </c>
      <c r="X126" s="1196" t="str">
        <f t="shared" si="22"/>
        <v/>
      </c>
      <c r="AJ126" s="1196" t="str">
        <f t="shared" si="23"/>
        <v/>
      </c>
    </row>
    <row r="127" spans="1:36" x14ac:dyDescent="0.35">
      <c r="A127" t="str">
        <f t="shared" si="26"/>
        <v>NO</v>
      </c>
      <c r="B127" t="str">
        <f t="shared" si="26"/>
        <v>NO</v>
      </c>
      <c r="C127" t="str">
        <f t="shared" si="26"/>
        <v>NO</v>
      </c>
      <c r="D127" t="str">
        <f t="shared" si="26"/>
        <v>NO</v>
      </c>
      <c r="E127" t="str">
        <f t="shared" si="26"/>
        <v>NO</v>
      </c>
      <c r="F127" t="str">
        <f t="shared" si="26"/>
        <v/>
      </c>
      <c r="H127" s="1196" t="str">
        <f t="shared" si="20"/>
        <v/>
      </c>
      <c r="Q127" t="str">
        <f t="shared" si="27"/>
        <v>NO</v>
      </c>
      <c r="R127" t="str">
        <f t="shared" si="27"/>
        <v>NO</v>
      </c>
      <c r="S127" t="str">
        <f t="shared" si="27"/>
        <v>NO</v>
      </c>
      <c r="T127" t="str">
        <f t="shared" si="27"/>
        <v>NO</v>
      </c>
      <c r="U127" t="str">
        <f t="shared" si="27"/>
        <v>NO</v>
      </c>
      <c r="V127" t="str">
        <f t="shared" si="27"/>
        <v/>
      </c>
      <c r="W127" t="str">
        <f t="shared" si="21"/>
        <v/>
      </c>
      <c r="X127" s="1196" t="str">
        <f t="shared" si="22"/>
        <v/>
      </c>
      <c r="AJ127" s="1196" t="str">
        <f t="shared" si="23"/>
        <v/>
      </c>
    </row>
    <row r="128" spans="1:36" x14ac:dyDescent="0.35">
      <c r="A128" t="str">
        <f t="shared" si="26"/>
        <v>NO</v>
      </c>
      <c r="B128" t="str">
        <f t="shared" si="26"/>
        <v>NO</v>
      </c>
      <c r="C128" t="str">
        <f t="shared" si="26"/>
        <v>NO</v>
      </c>
      <c r="D128" t="str">
        <f t="shared" si="26"/>
        <v>NO</v>
      </c>
      <c r="E128" t="str">
        <f t="shared" si="26"/>
        <v>NO</v>
      </c>
      <c r="F128" t="str">
        <f t="shared" si="26"/>
        <v/>
      </c>
      <c r="H128" s="1196" t="str">
        <f t="shared" si="20"/>
        <v/>
      </c>
      <c r="Q128" t="str">
        <f t="shared" si="27"/>
        <v>NO</v>
      </c>
      <c r="R128" t="str">
        <f t="shared" si="27"/>
        <v>NO</v>
      </c>
      <c r="S128" t="str">
        <f t="shared" si="27"/>
        <v>NO</v>
      </c>
      <c r="T128" t="str">
        <f t="shared" si="27"/>
        <v>NO</v>
      </c>
      <c r="U128" t="str">
        <f t="shared" si="27"/>
        <v>NO</v>
      </c>
      <c r="V128" t="str">
        <f t="shared" si="27"/>
        <v/>
      </c>
      <c r="W128" t="str">
        <f t="shared" si="21"/>
        <v/>
      </c>
      <c r="X128" s="1196" t="str">
        <f t="shared" si="22"/>
        <v/>
      </c>
      <c r="AJ128" s="1196" t="str">
        <f t="shared" si="23"/>
        <v/>
      </c>
    </row>
    <row r="129" spans="1:36" x14ac:dyDescent="0.35">
      <c r="A129" t="str">
        <f t="shared" si="26"/>
        <v>NO</v>
      </c>
      <c r="B129" t="str">
        <f t="shared" si="26"/>
        <v>NO</v>
      </c>
      <c r="C129" t="str">
        <f t="shared" si="26"/>
        <v>NO</v>
      </c>
      <c r="D129" t="str">
        <f t="shared" si="26"/>
        <v>NO</v>
      </c>
      <c r="E129" t="str">
        <f t="shared" si="26"/>
        <v>NO</v>
      </c>
      <c r="F129" t="str">
        <f t="shared" si="26"/>
        <v/>
      </c>
      <c r="H129" s="1196" t="str">
        <f t="shared" si="20"/>
        <v/>
      </c>
      <c r="Q129" t="str">
        <f t="shared" si="27"/>
        <v>NO</v>
      </c>
      <c r="R129" t="str">
        <f t="shared" si="27"/>
        <v>NO</v>
      </c>
      <c r="S129" t="str">
        <f t="shared" si="27"/>
        <v>NO</v>
      </c>
      <c r="T129" t="str">
        <f t="shared" si="27"/>
        <v>NO</v>
      </c>
      <c r="U129" t="str">
        <f t="shared" si="27"/>
        <v>NO</v>
      </c>
      <c r="V129" t="str">
        <f t="shared" si="27"/>
        <v/>
      </c>
      <c r="W129" t="str">
        <f t="shared" si="21"/>
        <v/>
      </c>
      <c r="X129" s="1196" t="str">
        <f t="shared" si="22"/>
        <v/>
      </c>
      <c r="AJ129" s="1196" t="str">
        <f t="shared" si="23"/>
        <v/>
      </c>
    </row>
    <row r="130" spans="1:36" x14ac:dyDescent="0.35">
      <c r="A130" t="str">
        <f t="shared" si="26"/>
        <v>NO</v>
      </c>
      <c r="B130" t="str">
        <f t="shared" si="26"/>
        <v>NO</v>
      </c>
      <c r="C130" t="str">
        <f t="shared" si="26"/>
        <v>NO</v>
      </c>
      <c r="D130" t="str">
        <f t="shared" si="26"/>
        <v>NO</v>
      </c>
      <c r="E130" t="str">
        <f t="shared" si="26"/>
        <v>NO</v>
      </c>
      <c r="F130" t="str">
        <f t="shared" si="26"/>
        <v/>
      </c>
      <c r="H130" s="1196" t="str">
        <f t="shared" si="20"/>
        <v/>
      </c>
      <c r="Q130" t="str">
        <f t="shared" si="27"/>
        <v>NO</v>
      </c>
      <c r="R130" t="str">
        <f t="shared" si="27"/>
        <v>NO</v>
      </c>
      <c r="S130" t="str">
        <f t="shared" si="27"/>
        <v>NO</v>
      </c>
      <c r="T130" t="str">
        <f t="shared" si="27"/>
        <v>NO</v>
      </c>
      <c r="U130" t="str">
        <f t="shared" si="27"/>
        <v>NO</v>
      </c>
      <c r="V130" t="str">
        <f t="shared" si="27"/>
        <v/>
      </c>
      <c r="W130" t="str">
        <f t="shared" si="21"/>
        <v/>
      </c>
      <c r="X130" s="1196" t="str">
        <f t="shared" si="22"/>
        <v/>
      </c>
      <c r="AJ130" s="1196" t="str">
        <f t="shared" si="23"/>
        <v/>
      </c>
    </row>
    <row r="131" spans="1:36" x14ac:dyDescent="0.35">
      <c r="A131" t="str">
        <f t="shared" si="26"/>
        <v>NO</v>
      </c>
      <c r="B131" t="str">
        <f t="shared" si="26"/>
        <v>NO</v>
      </c>
      <c r="C131" t="str">
        <f t="shared" si="26"/>
        <v>NO</v>
      </c>
      <c r="D131" t="str">
        <f t="shared" si="26"/>
        <v>NO</v>
      </c>
      <c r="E131" t="str">
        <f t="shared" si="26"/>
        <v>NO</v>
      </c>
      <c r="F131" t="str">
        <f t="shared" si="26"/>
        <v/>
      </c>
      <c r="H131" s="1196" t="str">
        <f t="shared" si="20"/>
        <v/>
      </c>
      <c r="Q131" t="str">
        <f t="shared" si="27"/>
        <v>NO</v>
      </c>
      <c r="R131" t="str">
        <f t="shared" si="27"/>
        <v>NO</v>
      </c>
      <c r="S131" t="str">
        <f t="shared" si="27"/>
        <v>NO</v>
      </c>
      <c r="T131" t="str">
        <f t="shared" si="27"/>
        <v>NO</v>
      </c>
      <c r="U131" t="str">
        <f t="shared" si="27"/>
        <v>NO</v>
      </c>
      <c r="V131" t="str">
        <f t="shared" si="27"/>
        <v/>
      </c>
      <c r="W131" t="str">
        <f t="shared" si="21"/>
        <v/>
      </c>
      <c r="X131" s="1196" t="str">
        <f t="shared" si="22"/>
        <v/>
      </c>
      <c r="AJ131" s="1196" t="str">
        <f t="shared" si="23"/>
        <v/>
      </c>
    </row>
    <row r="132" spans="1:36" x14ac:dyDescent="0.35">
      <c r="A132" t="str">
        <f t="shared" si="26"/>
        <v>NO</v>
      </c>
      <c r="B132" t="str">
        <f t="shared" si="26"/>
        <v>NO</v>
      </c>
      <c r="C132" t="str">
        <f t="shared" si="26"/>
        <v>NO</v>
      </c>
      <c r="D132" t="str">
        <f t="shared" si="26"/>
        <v>NO</v>
      </c>
      <c r="E132" t="str">
        <f t="shared" si="26"/>
        <v>NO</v>
      </c>
      <c r="F132" t="str">
        <f t="shared" si="26"/>
        <v/>
      </c>
      <c r="H132" s="1196" t="str">
        <f t="shared" ref="H132:H195" si="28">_xlfn.CONCAT(I132,J132,)</f>
        <v/>
      </c>
      <c r="Q132" t="str">
        <f t="shared" si="27"/>
        <v>NO</v>
      </c>
      <c r="R132" t="str">
        <f t="shared" si="27"/>
        <v>NO</v>
      </c>
      <c r="S132" t="str">
        <f t="shared" si="27"/>
        <v>NO</v>
      </c>
      <c r="T132" t="str">
        <f t="shared" si="27"/>
        <v>NO</v>
      </c>
      <c r="U132" t="str">
        <f t="shared" si="27"/>
        <v>NO</v>
      </c>
      <c r="V132" t="str">
        <f t="shared" si="27"/>
        <v/>
      </c>
      <c r="W132" t="str">
        <f t="shared" ref="W132:W195" si="29">IF(AV132=W131,_xlfn.CONCAT(AE132,AU132))</f>
        <v/>
      </c>
      <c r="X132" s="1196" t="str">
        <f t="shared" ref="X132:X195" si="30">_xlfn.CONCAT(Y132,Z132,)</f>
        <v/>
      </c>
      <c r="AJ132" s="1196" t="str">
        <f t="shared" ref="AJ132:AJ195" si="31">+IF(AI132="si",_xlfn.CONCAT(AH132,AG132),"")</f>
        <v/>
      </c>
    </row>
    <row r="133" spans="1:36" x14ac:dyDescent="0.35">
      <c r="A133" t="str">
        <f t="shared" si="26"/>
        <v>NO</v>
      </c>
      <c r="B133" t="str">
        <f t="shared" si="26"/>
        <v>NO</v>
      </c>
      <c r="C133" t="str">
        <f t="shared" si="26"/>
        <v>NO</v>
      </c>
      <c r="D133" t="str">
        <f t="shared" si="26"/>
        <v>NO</v>
      </c>
      <c r="E133" t="str">
        <f t="shared" si="26"/>
        <v>NO</v>
      </c>
      <c r="F133" t="str">
        <f t="shared" si="26"/>
        <v/>
      </c>
      <c r="H133" s="1196" t="str">
        <f t="shared" si="28"/>
        <v/>
      </c>
      <c r="Q133" t="str">
        <f t="shared" si="27"/>
        <v>NO</v>
      </c>
      <c r="R133" t="str">
        <f t="shared" si="27"/>
        <v>NO</v>
      </c>
      <c r="S133" t="str">
        <f t="shared" si="27"/>
        <v>NO</v>
      </c>
      <c r="T133" t="str">
        <f t="shared" si="27"/>
        <v>NO</v>
      </c>
      <c r="U133" t="str">
        <f t="shared" si="27"/>
        <v>NO</v>
      </c>
      <c r="V133" t="str">
        <f t="shared" si="27"/>
        <v/>
      </c>
      <c r="W133" t="str">
        <f t="shared" si="29"/>
        <v/>
      </c>
      <c r="X133" s="1196" t="str">
        <f t="shared" si="30"/>
        <v/>
      </c>
      <c r="AJ133" s="1196" t="str">
        <f t="shared" si="31"/>
        <v/>
      </c>
    </row>
    <row r="134" spans="1:36" x14ac:dyDescent="0.35">
      <c r="A134" t="str">
        <f t="shared" si="26"/>
        <v>NO</v>
      </c>
      <c r="B134" t="str">
        <f t="shared" si="26"/>
        <v>NO</v>
      </c>
      <c r="C134" t="str">
        <f t="shared" si="26"/>
        <v>NO</v>
      </c>
      <c r="D134" t="str">
        <f t="shared" si="26"/>
        <v>NO</v>
      </c>
      <c r="E134" t="str">
        <f t="shared" si="26"/>
        <v>NO</v>
      </c>
      <c r="F134" t="str">
        <f t="shared" si="26"/>
        <v/>
      </c>
      <c r="H134" s="1196" t="str">
        <f t="shared" si="28"/>
        <v/>
      </c>
      <c r="Q134" t="str">
        <f t="shared" si="27"/>
        <v>NO</v>
      </c>
      <c r="R134" t="str">
        <f t="shared" si="27"/>
        <v>NO</v>
      </c>
      <c r="S134" t="str">
        <f t="shared" si="27"/>
        <v>NO</v>
      </c>
      <c r="T134" t="str">
        <f t="shared" si="27"/>
        <v>NO</v>
      </c>
      <c r="U134" t="str">
        <f t="shared" si="27"/>
        <v>NO</v>
      </c>
      <c r="V134" t="str">
        <f t="shared" si="27"/>
        <v/>
      </c>
      <c r="W134" t="str">
        <f t="shared" si="29"/>
        <v/>
      </c>
      <c r="X134" s="1196" t="str">
        <f t="shared" si="30"/>
        <v/>
      </c>
      <c r="AJ134" s="1196" t="str">
        <f t="shared" si="31"/>
        <v/>
      </c>
    </row>
    <row r="135" spans="1:36" x14ac:dyDescent="0.35">
      <c r="A135" t="str">
        <f t="shared" si="26"/>
        <v>NO</v>
      </c>
      <c r="B135" t="str">
        <f t="shared" si="26"/>
        <v>NO</v>
      </c>
      <c r="C135" t="str">
        <f t="shared" si="26"/>
        <v>NO</v>
      </c>
      <c r="D135" t="str">
        <f t="shared" si="26"/>
        <v>NO</v>
      </c>
      <c r="E135" t="str">
        <f t="shared" si="26"/>
        <v>NO</v>
      </c>
      <c r="F135" t="str">
        <f t="shared" si="26"/>
        <v/>
      </c>
      <c r="H135" s="1196" t="str">
        <f t="shared" si="28"/>
        <v/>
      </c>
      <c r="Q135" t="str">
        <f t="shared" si="27"/>
        <v>NO</v>
      </c>
      <c r="R135" t="str">
        <f t="shared" si="27"/>
        <v>NO</v>
      </c>
      <c r="S135" t="str">
        <f t="shared" si="27"/>
        <v>NO</v>
      </c>
      <c r="T135" t="str">
        <f t="shared" si="27"/>
        <v>NO</v>
      </c>
      <c r="U135" t="str">
        <f t="shared" si="27"/>
        <v>NO</v>
      </c>
      <c r="V135" t="str">
        <f t="shared" si="27"/>
        <v/>
      </c>
      <c r="W135" t="str">
        <f t="shared" si="29"/>
        <v/>
      </c>
      <c r="X135" s="1196" t="str">
        <f t="shared" si="30"/>
        <v/>
      </c>
      <c r="AJ135" s="1196" t="str">
        <f t="shared" si="31"/>
        <v/>
      </c>
    </row>
    <row r="136" spans="1:36" x14ac:dyDescent="0.35">
      <c r="A136" t="str">
        <f t="shared" si="26"/>
        <v>NO</v>
      </c>
      <c r="B136" t="str">
        <f t="shared" si="26"/>
        <v>NO</v>
      </c>
      <c r="C136" t="str">
        <f t="shared" si="26"/>
        <v>NO</v>
      </c>
      <c r="D136" t="str">
        <f t="shared" si="26"/>
        <v>NO</v>
      </c>
      <c r="E136" t="str">
        <f t="shared" si="26"/>
        <v>NO</v>
      </c>
      <c r="F136" t="str">
        <f t="shared" si="26"/>
        <v/>
      </c>
      <c r="H136" s="1196" t="str">
        <f t="shared" si="28"/>
        <v/>
      </c>
      <c r="Q136" t="str">
        <f t="shared" si="27"/>
        <v>NO</v>
      </c>
      <c r="R136" t="str">
        <f t="shared" si="27"/>
        <v>NO</v>
      </c>
      <c r="S136" t="str">
        <f t="shared" si="27"/>
        <v>NO</v>
      </c>
      <c r="T136" t="str">
        <f t="shared" si="27"/>
        <v>NO</v>
      </c>
      <c r="U136" t="str">
        <f t="shared" si="27"/>
        <v>NO</v>
      </c>
      <c r="V136" t="str">
        <f t="shared" si="27"/>
        <v/>
      </c>
      <c r="W136" t="str">
        <f t="shared" si="29"/>
        <v/>
      </c>
      <c r="X136" s="1196" t="str">
        <f t="shared" si="30"/>
        <v/>
      </c>
      <c r="AJ136" s="1196" t="str">
        <f t="shared" si="31"/>
        <v/>
      </c>
    </row>
    <row r="137" spans="1:36" x14ac:dyDescent="0.35">
      <c r="A137" t="str">
        <f t="shared" si="26"/>
        <v>NO</v>
      </c>
      <c r="B137" t="str">
        <f t="shared" si="26"/>
        <v>NO</v>
      </c>
      <c r="C137" t="str">
        <f t="shared" si="26"/>
        <v>NO</v>
      </c>
      <c r="D137" t="str">
        <f t="shared" si="26"/>
        <v>NO</v>
      </c>
      <c r="E137" t="str">
        <f t="shared" si="26"/>
        <v>NO</v>
      </c>
      <c r="F137" t="str">
        <f t="shared" si="26"/>
        <v/>
      </c>
      <c r="H137" s="1196" t="str">
        <f t="shared" si="28"/>
        <v/>
      </c>
      <c r="Q137" t="str">
        <f t="shared" si="27"/>
        <v>NO</v>
      </c>
      <c r="R137" t="str">
        <f t="shared" si="27"/>
        <v>NO</v>
      </c>
      <c r="S137" t="str">
        <f t="shared" si="27"/>
        <v>NO</v>
      </c>
      <c r="T137" t="str">
        <f t="shared" si="27"/>
        <v>NO</v>
      </c>
      <c r="U137" t="str">
        <f t="shared" si="27"/>
        <v>NO</v>
      </c>
      <c r="V137" t="str">
        <f t="shared" si="27"/>
        <v/>
      </c>
      <c r="W137" t="str">
        <f t="shared" si="29"/>
        <v/>
      </c>
      <c r="X137" s="1196" t="str">
        <f t="shared" si="30"/>
        <v/>
      </c>
      <c r="AJ137" s="1196" t="str">
        <f t="shared" si="31"/>
        <v/>
      </c>
    </row>
    <row r="138" spans="1:36" x14ac:dyDescent="0.35">
      <c r="A138" t="str">
        <f t="shared" si="26"/>
        <v>NO</v>
      </c>
      <c r="B138" t="str">
        <f t="shared" si="26"/>
        <v>NO</v>
      </c>
      <c r="C138" t="str">
        <f t="shared" si="26"/>
        <v>NO</v>
      </c>
      <c r="D138" t="str">
        <f t="shared" si="26"/>
        <v>NO</v>
      </c>
      <c r="E138" t="str">
        <f t="shared" si="26"/>
        <v>NO</v>
      </c>
      <c r="F138" t="str">
        <f t="shared" si="26"/>
        <v/>
      </c>
      <c r="H138" s="1196" t="str">
        <f t="shared" si="28"/>
        <v/>
      </c>
      <c r="Q138" t="str">
        <f t="shared" si="27"/>
        <v>NO</v>
      </c>
      <c r="R138" t="str">
        <f t="shared" si="27"/>
        <v>NO</v>
      </c>
      <c r="S138" t="str">
        <f t="shared" si="27"/>
        <v>NO</v>
      </c>
      <c r="T138" t="str">
        <f t="shared" si="27"/>
        <v>NO</v>
      </c>
      <c r="U138" t="str">
        <f t="shared" si="27"/>
        <v>NO</v>
      </c>
      <c r="V138" t="str">
        <f t="shared" si="27"/>
        <v/>
      </c>
      <c r="W138" t="str">
        <f t="shared" si="29"/>
        <v/>
      </c>
      <c r="X138" s="1196" t="str">
        <f t="shared" si="30"/>
        <v/>
      </c>
      <c r="AJ138" s="1196" t="str">
        <f t="shared" si="31"/>
        <v/>
      </c>
    </row>
    <row r="139" spans="1:36" x14ac:dyDescent="0.35">
      <c r="A139" t="str">
        <f t="shared" si="26"/>
        <v>NO</v>
      </c>
      <c r="B139" t="str">
        <f t="shared" si="26"/>
        <v>NO</v>
      </c>
      <c r="C139" t="str">
        <f t="shared" si="26"/>
        <v>NO</v>
      </c>
      <c r="D139" t="str">
        <f t="shared" si="26"/>
        <v>NO</v>
      </c>
      <c r="E139" t="str">
        <f t="shared" si="26"/>
        <v>NO</v>
      </c>
      <c r="F139" t="str">
        <f t="shared" si="26"/>
        <v/>
      </c>
      <c r="H139" s="1196" t="str">
        <f t="shared" si="28"/>
        <v/>
      </c>
      <c r="Q139" t="str">
        <f t="shared" si="27"/>
        <v>NO</v>
      </c>
      <c r="R139" t="str">
        <f t="shared" si="27"/>
        <v>NO</v>
      </c>
      <c r="S139" t="str">
        <f t="shared" si="27"/>
        <v>NO</v>
      </c>
      <c r="T139" t="str">
        <f t="shared" si="27"/>
        <v>NO</v>
      </c>
      <c r="U139" t="str">
        <f t="shared" si="27"/>
        <v>NO</v>
      </c>
      <c r="V139" t="str">
        <f t="shared" si="27"/>
        <v/>
      </c>
      <c r="W139" t="str">
        <f t="shared" si="29"/>
        <v/>
      </c>
      <c r="X139" s="1196" t="str">
        <f t="shared" si="30"/>
        <v/>
      </c>
      <c r="AJ139" s="1196" t="str">
        <f t="shared" si="31"/>
        <v/>
      </c>
    </row>
    <row r="140" spans="1:36" x14ac:dyDescent="0.35">
      <c r="A140" t="str">
        <f t="shared" si="26"/>
        <v>NO</v>
      </c>
      <c r="B140" t="str">
        <f t="shared" si="26"/>
        <v>NO</v>
      </c>
      <c r="C140" t="str">
        <f t="shared" si="26"/>
        <v>NO</v>
      </c>
      <c r="D140" t="str">
        <f t="shared" si="26"/>
        <v>NO</v>
      </c>
      <c r="E140" t="str">
        <f t="shared" si="26"/>
        <v>NO</v>
      </c>
      <c r="F140" t="str">
        <f t="shared" si="26"/>
        <v/>
      </c>
      <c r="H140" s="1196" t="str">
        <f t="shared" si="28"/>
        <v/>
      </c>
      <c r="Q140" t="str">
        <f t="shared" si="27"/>
        <v>NO</v>
      </c>
      <c r="R140" t="str">
        <f t="shared" si="27"/>
        <v>NO</v>
      </c>
      <c r="S140" t="str">
        <f t="shared" si="27"/>
        <v>NO</v>
      </c>
      <c r="T140" t="str">
        <f t="shared" si="27"/>
        <v>NO</v>
      </c>
      <c r="U140" t="str">
        <f t="shared" si="27"/>
        <v>NO</v>
      </c>
      <c r="V140" t="str">
        <f t="shared" si="27"/>
        <v/>
      </c>
      <c r="W140" t="str">
        <f t="shared" si="29"/>
        <v/>
      </c>
      <c r="X140" s="1196" t="str">
        <f t="shared" si="30"/>
        <v/>
      </c>
      <c r="AJ140" s="1196" t="str">
        <f t="shared" si="31"/>
        <v/>
      </c>
    </row>
    <row r="141" spans="1:36" x14ac:dyDescent="0.35">
      <c r="A141" t="str">
        <f t="shared" si="26"/>
        <v>NO</v>
      </c>
      <c r="B141" t="str">
        <f t="shared" si="26"/>
        <v>NO</v>
      </c>
      <c r="C141" t="str">
        <f t="shared" si="26"/>
        <v>NO</v>
      </c>
      <c r="D141" t="str">
        <f t="shared" si="26"/>
        <v>NO</v>
      </c>
      <c r="E141" t="str">
        <f t="shared" si="26"/>
        <v>NO</v>
      </c>
      <c r="F141" t="str">
        <f t="shared" si="26"/>
        <v/>
      </c>
      <c r="H141" s="1196" t="str">
        <f t="shared" si="28"/>
        <v/>
      </c>
      <c r="Q141" t="str">
        <f t="shared" si="27"/>
        <v>NO</v>
      </c>
      <c r="R141" t="str">
        <f t="shared" si="27"/>
        <v>NO</v>
      </c>
      <c r="S141" t="str">
        <f t="shared" si="27"/>
        <v>NO</v>
      </c>
      <c r="T141" t="str">
        <f t="shared" si="27"/>
        <v>NO</v>
      </c>
      <c r="U141" t="str">
        <f t="shared" si="27"/>
        <v>NO</v>
      </c>
      <c r="V141" t="str">
        <f t="shared" si="27"/>
        <v/>
      </c>
      <c r="W141" t="str">
        <f t="shared" si="29"/>
        <v/>
      </c>
      <c r="X141" s="1196" t="str">
        <f t="shared" si="30"/>
        <v/>
      </c>
      <c r="AJ141" s="1196" t="str">
        <f t="shared" si="31"/>
        <v/>
      </c>
    </row>
    <row r="142" spans="1:36" x14ac:dyDescent="0.35">
      <c r="A142" t="str">
        <f t="shared" si="26"/>
        <v>NO</v>
      </c>
      <c r="B142" t="str">
        <f t="shared" si="26"/>
        <v>NO</v>
      </c>
      <c r="C142" t="str">
        <f t="shared" si="26"/>
        <v>NO</v>
      </c>
      <c r="D142" t="str">
        <f t="shared" si="26"/>
        <v>NO</v>
      </c>
      <c r="E142" t="str">
        <f t="shared" si="26"/>
        <v>NO</v>
      </c>
      <c r="F142" t="str">
        <f t="shared" si="26"/>
        <v/>
      </c>
      <c r="H142" s="1196" t="str">
        <f t="shared" si="28"/>
        <v/>
      </c>
      <c r="Q142" t="str">
        <f t="shared" si="27"/>
        <v>NO</v>
      </c>
      <c r="R142" t="str">
        <f t="shared" si="27"/>
        <v>NO</v>
      </c>
      <c r="S142" t="str">
        <f t="shared" si="27"/>
        <v>NO</v>
      </c>
      <c r="T142" t="str">
        <f t="shared" si="27"/>
        <v>NO</v>
      </c>
      <c r="U142" t="str">
        <f t="shared" si="27"/>
        <v>NO</v>
      </c>
      <c r="V142" t="str">
        <f t="shared" si="27"/>
        <v/>
      </c>
      <c r="W142" t="str">
        <f t="shared" si="29"/>
        <v/>
      </c>
      <c r="X142" s="1196" t="str">
        <f t="shared" si="30"/>
        <v/>
      </c>
      <c r="AJ142" s="1196" t="str">
        <f t="shared" si="31"/>
        <v/>
      </c>
    </row>
    <row r="143" spans="1:36" x14ac:dyDescent="0.35">
      <c r="A143" t="str">
        <f t="shared" si="26"/>
        <v>NO</v>
      </c>
      <c r="B143" t="str">
        <f t="shared" si="26"/>
        <v>NO</v>
      </c>
      <c r="C143" t="str">
        <f t="shared" si="26"/>
        <v>NO</v>
      </c>
      <c r="D143" t="str">
        <f t="shared" si="26"/>
        <v>NO</v>
      </c>
      <c r="E143" t="str">
        <f t="shared" si="26"/>
        <v>NO</v>
      </c>
      <c r="F143" t="str">
        <f t="shared" si="26"/>
        <v/>
      </c>
      <c r="H143" s="1196" t="str">
        <f t="shared" si="28"/>
        <v/>
      </c>
      <c r="Q143" t="str">
        <f t="shared" si="27"/>
        <v>NO</v>
      </c>
      <c r="R143" t="str">
        <f t="shared" si="27"/>
        <v>NO</v>
      </c>
      <c r="S143" t="str">
        <f t="shared" si="27"/>
        <v>NO</v>
      </c>
      <c r="T143" t="str">
        <f t="shared" si="27"/>
        <v>NO</v>
      </c>
      <c r="U143" t="str">
        <f t="shared" si="27"/>
        <v>NO</v>
      </c>
      <c r="V143" t="str">
        <f t="shared" si="27"/>
        <v/>
      </c>
      <c r="W143" t="str">
        <f t="shared" si="29"/>
        <v/>
      </c>
      <c r="X143" s="1196" t="str">
        <f t="shared" si="30"/>
        <v/>
      </c>
      <c r="AJ143" s="1196" t="str">
        <f t="shared" si="31"/>
        <v/>
      </c>
    </row>
    <row r="144" spans="1:36" x14ac:dyDescent="0.35">
      <c r="A144" t="str">
        <f t="shared" si="26"/>
        <v>NO</v>
      </c>
      <c r="B144" t="str">
        <f t="shared" si="26"/>
        <v>NO</v>
      </c>
      <c r="C144" t="str">
        <f t="shared" si="26"/>
        <v>NO</v>
      </c>
      <c r="D144" t="str">
        <f t="shared" si="26"/>
        <v>NO</v>
      </c>
      <c r="E144" t="str">
        <f t="shared" si="26"/>
        <v>NO</v>
      </c>
      <c r="F144" t="str">
        <f t="shared" si="26"/>
        <v/>
      </c>
      <c r="H144" s="1196" t="str">
        <f t="shared" si="28"/>
        <v/>
      </c>
      <c r="Q144" t="str">
        <f t="shared" si="27"/>
        <v>NO</v>
      </c>
      <c r="R144" t="str">
        <f t="shared" si="27"/>
        <v>NO</v>
      </c>
      <c r="S144" t="str">
        <f t="shared" si="27"/>
        <v>NO</v>
      </c>
      <c r="T144" t="str">
        <f t="shared" si="27"/>
        <v>NO</v>
      </c>
      <c r="U144" t="str">
        <f t="shared" si="27"/>
        <v>NO</v>
      </c>
      <c r="V144" t="str">
        <f t="shared" si="27"/>
        <v/>
      </c>
      <c r="W144" t="str">
        <f t="shared" si="29"/>
        <v/>
      </c>
      <c r="X144" s="1196" t="str">
        <f t="shared" si="30"/>
        <v/>
      </c>
      <c r="AJ144" s="1196" t="str">
        <f t="shared" si="31"/>
        <v/>
      </c>
    </row>
    <row r="145" spans="1:36" x14ac:dyDescent="0.35">
      <c r="A145" t="str">
        <f t="shared" si="26"/>
        <v>NO</v>
      </c>
      <c r="B145" t="str">
        <f t="shared" si="26"/>
        <v>NO</v>
      </c>
      <c r="C145" t="str">
        <f t="shared" si="26"/>
        <v>NO</v>
      </c>
      <c r="D145" t="str">
        <f t="shared" si="26"/>
        <v>NO</v>
      </c>
      <c r="E145" t="str">
        <f t="shared" si="26"/>
        <v>NO</v>
      </c>
      <c r="F145" t="str">
        <f t="shared" si="26"/>
        <v/>
      </c>
      <c r="H145" s="1196" t="str">
        <f t="shared" si="28"/>
        <v/>
      </c>
      <c r="Q145" t="str">
        <f t="shared" si="27"/>
        <v>NO</v>
      </c>
      <c r="R145" t="str">
        <f t="shared" si="27"/>
        <v>NO</v>
      </c>
      <c r="S145" t="str">
        <f t="shared" si="27"/>
        <v>NO</v>
      </c>
      <c r="T145" t="str">
        <f t="shared" si="27"/>
        <v>NO</v>
      </c>
      <c r="U145" t="str">
        <f t="shared" si="27"/>
        <v>NO</v>
      </c>
      <c r="V145" t="str">
        <f t="shared" si="27"/>
        <v/>
      </c>
      <c r="W145" t="str">
        <f t="shared" si="29"/>
        <v/>
      </c>
      <c r="X145" s="1196" t="str">
        <f t="shared" si="30"/>
        <v/>
      </c>
      <c r="AJ145" s="1196" t="str">
        <f t="shared" si="31"/>
        <v/>
      </c>
    </row>
    <row r="146" spans="1:36" x14ac:dyDescent="0.35">
      <c r="A146" t="str">
        <f t="shared" si="26"/>
        <v>NO</v>
      </c>
      <c r="B146" t="str">
        <f t="shared" si="26"/>
        <v>NO</v>
      </c>
      <c r="C146" t="str">
        <f t="shared" si="26"/>
        <v>NO</v>
      </c>
      <c r="D146" t="str">
        <f t="shared" si="26"/>
        <v>NO</v>
      </c>
      <c r="E146" t="str">
        <f t="shared" si="26"/>
        <v>NO</v>
      </c>
      <c r="F146" t="str">
        <f t="shared" si="26"/>
        <v/>
      </c>
      <c r="H146" s="1196" t="str">
        <f t="shared" si="28"/>
        <v/>
      </c>
      <c r="Q146" t="str">
        <f t="shared" si="27"/>
        <v>NO</v>
      </c>
      <c r="R146" t="str">
        <f t="shared" si="27"/>
        <v>NO</v>
      </c>
      <c r="S146" t="str">
        <f t="shared" si="27"/>
        <v>NO</v>
      </c>
      <c r="T146" t="str">
        <f t="shared" si="27"/>
        <v>NO</v>
      </c>
      <c r="U146" t="str">
        <f t="shared" si="27"/>
        <v>NO</v>
      </c>
      <c r="V146" t="str">
        <f t="shared" si="27"/>
        <v/>
      </c>
      <c r="W146" t="str">
        <f t="shared" si="29"/>
        <v/>
      </c>
      <c r="X146" s="1196" t="str">
        <f t="shared" si="30"/>
        <v/>
      </c>
      <c r="AJ146" s="1196" t="str">
        <f t="shared" si="31"/>
        <v/>
      </c>
    </row>
    <row r="147" spans="1:36" x14ac:dyDescent="0.35">
      <c r="A147" t="str">
        <f t="shared" si="26"/>
        <v>NO</v>
      </c>
      <c r="B147" t="str">
        <f t="shared" si="26"/>
        <v>NO</v>
      </c>
      <c r="C147" t="str">
        <f t="shared" si="26"/>
        <v>NO</v>
      </c>
      <c r="D147" t="str">
        <f t="shared" si="26"/>
        <v>NO</v>
      </c>
      <c r="E147" t="str">
        <f t="shared" si="26"/>
        <v>NO</v>
      </c>
      <c r="F147" t="str">
        <f t="shared" si="26"/>
        <v/>
      </c>
      <c r="H147" s="1196" t="str">
        <f t="shared" si="28"/>
        <v/>
      </c>
      <c r="Q147" t="str">
        <f t="shared" si="27"/>
        <v>NO</v>
      </c>
      <c r="R147" t="str">
        <f t="shared" si="27"/>
        <v>NO</v>
      </c>
      <c r="S147" t="str">
        <f t="shared" si="27"/>
        <v>NO</v>
      </c>
      <c r="T147" t="str">
        <f t="shared" si="27"/>
        <v>NO</v>
      </c>
      <c r="U147" t="str">
        <f t="shared" si="27"/>
        <v>NO</v>
      </c>
      <c r="V147" t="str">
        <f t="shared" si="27"/>
        <v/>
      </c>
      <c r="W147" t="str">
        <f t="shared" si="29"/>
        <v/>
      </c>
      <c r="X147" s="1196" t="str">
        <f t="shared" si="30"/>
        <v/>
      </c>
      <c r="AJ147" s="1196" t="str">
        <f t="shared" si="31"/>
        <v/>
      </c>
    </row>
    <row r="148" spans="1:36" x14ac:dyDescent="0.35">
      <c r="A148" t="str">
        <f t="shared" si="26"/>
        <v>NO</v>
      </c>
      <c r="B148" t="str">
        <f t="shared" si="26"/>
        <v>NO</v>
      </c>
      <c r="C148" t="str">
        <f t="shared" si="26"/>
        <v>NO</v>
      </c>
      <c r="D148" t="str">
        <f t="shared" si="26"/>
        <v>NO</v>
      </c>
      <c r="E148" t="str">
        <f t="shared" si="26"/>
        <v>NO</v>
      </c>
      <c r="F148" t="str">
        <f t="shared" si="26"/>
        <v/>
      </c>
      <c r="H148" s="1196" t="str">
        <f t="shared" si="28"/>
        <v/>
      </c>
      <c r="Q148" t="str">
        <f t="shared" si="27"/>
        <v>NO</v>
      </c>
      <c r="R148" t="str">
        <f t="shared" si="27"/>
        <v>NO</v>
      </c>
      <c r="S148" t="str">
        <f t="shared" si="27"/>
        <v>NO</v>
      </c>
      <c r="T148" t="str">
        <f t="shared" si="27"/>
        <v>NO</v>
      </c>
      <c r="U148" t="str">
        <f t="shared" si="27"/>
        <v>NO</v>
      </c>
      <c r="V148" t="str">
        <f t="shared" si="27"/>
        <v/>
      </c>
      <c r="W148" t="str">
        <f t="shared" si="29"/>
        <v/>
      </c>
      <c r="X148" s="1196" t="str">
        <f t="shared" si="30"/>
        <v/>
      </c>
      <c r="AJ148" s="1196" t="str">
        <f t="shared" si="31"/>
        <v/>
      </c>
    </row>
    <row r="149" spans="1:36" x14ac:dyDescent="0.35">
      <c r="A149" t="str">
        <f t="shared" si="26"/>
        <v>NO</v>
      </c>
      <c r="B149" t="str">
        <f t="shared" si="26"/>
        <v>NO</v>
      </c>
      <c r="C149" t="str">
        <f t="shared" si="26"/>
        <v>NO</v>
      </c>
      <c r="D149" t="str">
        <f t="shared" si="26"/>
        <v>NO</v>
      </c>
      <c r="E149" t="str">
        <f t="shared" si="26"/>
        <v>NO</v>
      </c>
      <c r="F149" t="str">
        <f t="shared" si="26"/>
        <v/>
      </c>
      <c r="H149" s="1196" t="str">
        <f t="shared" si="28"/>
        <v/>
      </c>
      <c r="Q149" t="str">
        <f t="shared" si="27"/>
        <v>NO</v>
      </c>
      <c r="R149" t="str">
        <f t="shared" si="27"/>
        <v>NO</v>
      </c>
      <c r="S149" t="str">
        <f t="shared" si="27"/>
        <v>NO</v>
      </c>
      <c r="T149" t="str">
        <f t="shared" si="27"/>
        <v>NO</v>
      </c>
      <c r="U149" t="str">
        <f t="shared" si="27"/>
        <v>NO</v>
      </c>
      <c r="V149" t="str">
        <f t="shared" si="27"/>
        <v/>
      </c>
      <c r="W149" t="str">
        <f t="shared" si="29"/>
        <v/>
      </c>
      <c r="X149" s="1196" t="str">
        <f t="shared" si="30"/>
        <v/>
      </c>
      <c r="AJ149" s="1196" t="str">
        <f t="shared" si="31"/>
        <v/>
      </c>
    </row>
    <row r="150" spans="1:36" x14ac:dyDescent="0.35">
      <c r="A150" t="str">
        <f t="shared" si="26"/>
        <v>NO</v>
      </c>
      <c r="B150" t="str">
        <f t="shared" si="26"/>
        <v>NO</v>
      </c>
      <c r="C150" t="str">
        <f t="shared" si="26"/>
        <v>NO</v>
      </c>
      <c r="D150" t="str">
        <f t="shared" si="26"/>
        <v>NO</v>
      </c>
      <c r="E150" t="str">
        <f t="shared" si="26"/>
        <v>NO</v>
      </c>
      <c r="F150" t="str">
        <f t="shared" si="26"/>
        <v/>
      </c>
      <c r="H150" s="1196" t="str">
        <f t="shared" si="28"/>
        <v/>
      </c>
      <c r="Q150" t="str">
        <f t="shared" si="27"/>
        <v>NO</v>
      </c>
      <c r="R150" t="str">
        <f t="shared" si="27"/>
        <v>NO</v>
      </c>
      <c r="S150" t="str">
        <f t="shared" si="27"/>
        <v>NO</v>
      </c>
      <c r="T150" t="str">
        <f t="shared" si="27"/>
        <v>NO</v>
      </c>
      <c r="U150" t="str">
        <f t="shared" si="27"/>
        <v>NO</v>
      </c>
      <c r="V150" t="str">
        <f t="shared" si="27"/>
        <v/>
      </c>
      <c r="W150" t="str">
        <f t="shared" si="29"/>
        <v/>
      </c>
      <c r="X150" s="1196" t="str">
        <f t="shared" si="30"/>
        <v/>
      </c>
      <c r="AJ150" s="1196" t="str">
        <f t="shared" si="31"/>
        <v/>
      </c>
    </row>
    <row r="151" spans="1:36" x14ac:dyDescent="0.35">
      <c r="A151" t="str">
        <f t="shared" si="26"/>
        <v>NO</v>
      </c>
      <c r="B151" t="str">
        <f t="shared" si="26"/>
        <v>NO</v>
      </c>
      <c r="C151" t="str">
        <f t="shared" si="26"/>
        <v>NO</v>
      </c>
      <c r="D151" t="str">
        <f t="shared" si="26"/>
        <v>NO</v>
      </c>
      <c r="E151" t="str">
        <f t="shared" si="26"/>
        <v>NO</v>
      </c>
      <c r="F151" t="str">
        <f t="shared" si="26"/>
        <v/>
      </c>
      <c r="H151" s="1196" t="str">
        <f t="shared" si="28"/>
        <v/>
      </c>
      <c r="Q151" t="str">
        <f t="shared" si="27"/>
        <v>NO</v>
      </c>
      <c r="R151" t="str">
        <f t="shared" si="27"/>
        <v>NO</v>
      </c>
      <c r="S151" t="str">
        <f t="shared" si="27"/>
        <v>NO</v>
      </c>
      <c r="T151" t="str">
        <f t="shared" si="27"/>
        <v>NO</v>
      </c>
      <c r="U151" t="str">
        <f t="shared" si="27"/>
        <v>NO</v>
      </c>
      <c r="V151" t="str">
        <f t="shared" si="27"/>
        <v/>
      </c>
      <c r="W151" t="str">
        <f t="shared" si="29"/>
        <v/>
      </c>
      <c r="X151" s="1196" t="str">
        <f t="shared" si="30"/>
        <v/>
      </c>
      <c r="AJ151" s="1196" t="str">
        <f t="shared" si="31"/>
        <v/>
      </c>
    </row>
    <row r="152" spans="1:36" x14ac:dyDescent="0.35">
      <c r="A152" t="str">
        <f t="shared" si="26"/>
        <v>NO</v>
      </c>
      <c r="B152" t="str">
        <f t="shared" si="26"/>
        <v>NO</v>
      </c>
      <c r="C152" t="str">
        <f t="shared" si="26"/>
        <v>NO</v>
      </c>
      <c r="D152" t="str">
        <f t="shared" si="26"/>
        <v>NO</v>
      </c>
      <c r="E152" t="str">
        <f t="shared" si="26"/>
        <v>NO</v>
      </c>
      <c r="F152" t="str">
        <f t="shared" si="26"/>
        <v/>
      </c>
      <c r="H152" s="1196" t="str">
        <f t="shared" si="28"/>
        <v/>
      </c>
      <c r="Q152" t="str">
        <f t="shared" si="27"/>
        <v>NO</v>
      </c>
      <c r="R152" t="str">
        <f t="shared" si="27"/>
        <v>NO</v>
      </c>
      <c r="S152" t="str">
        <f t="shared" si="27"/>
        <v>NO</v>
      </c>
      <c r="T152" t="str">
        <f t="shared" si="27"/>
        <v>NO</v>
      </c>
      <c r="U152" t="str">
        <f t="shared" si="27"/>
        <v>NO</v>
      </c>
      <c r="V152" t="str">
        <f t="shared" si="27"/>
        <v/>
      </c>
      <c r="W152" t="str">
        <f t="shared" si="29"/>
        <v/>
      </c>
      <c r="X152" s="1196" t="str">
        <f t="shared" si="30"/>
        <v/>
      </c>
      <c r="AJ152" s="1196" t="str">
        <f t="shared" si="31"/>
        <v/>
      </c>
    </row>
    <row r="153" spans="1:36" x14ac:dyDescent="0.35">
      <c r="A153" t="str">
        <f t="shared" ref="A153:F184" si="32">IFERROR(IF($K153=A$2,_xlfn.CONCAT($I153,$J153),"NO"),0)</f>
        <v>NO</v>
      </c>
      <c r="B153" t="str">
        <f t="shared" si="32"/>
        <v>NO</v>
      </c>
      <c r="C153" t="str">
        <f t="shared" si="32"/>
        <v>NO</v>
      </c>
      <c r="D153" t="str">
        <f t="shared" si="32"/>
        <v>NO</v>
      </c>
      <c r="E153" t="str">
        <f t="shared" si="32"/>
        <v>NO</v>
      </c>
      <c r="F153" t="str">
        <f t="shared" si="32"/>
        <v/>
      </c>
      <c r="H153" s="1196" t="str">
        <f t="shared" si="28"/>
        <v/>
      </c>
      <c r="Q153" t="str">
        <f t="shared" si="27"/>
        <v>NO</v>
      </c>
      <c r="R153" t="str">
        <f t="shared" si="27"/>
        <v>NO</v>
      </c>
      <c r="S153" t="str">
        <f t="shared" si="27"/>
        <v>NO</v>
      </c>
      <c r="T153" t="str">
        <f t="shared" si="27"/>
        <v>NO</v>
      </c>
      <c r="U153" t="str">
        <f t="shared" si="27"/>
        <v>NO</v>
      </c>
      <c r="V153" t="str">
        <f t="shared" si="27"/>
        <v/>
      </c>
      <c r="W153" t="str">
        <f t="shared" si="29"/>
        <v/>
      </c>
      <c r="X153" s="1196" t="str">
        <f t="shared" si="30"/>
        <v/>
      </c>
      <c r="AJ153" s="1196" t="str">
        <f t="shared" si="31"/>
        <v/>
      </c>
    </row>
    <row r="154" spans="1:36" x14ac:dyDescent="0.35">
      <c r="A154" t="str">
        <f t="shared" si="32"/>
        <v>NO</v>
      </c>
      <c r="B154" t="str">
        <f t="shared" si="32"/>
        <v>NO</v>
      </c>
      <c r="C154" t="str">
        <f t="shared" si="32"/>
        <v>NO</v>
      </c>
      <c r="D154" t="str">
        <f t="shared" si="32"/>
        <v>NO</v>
      </c>
      <c r="E154" t="str">
        <f t="shared" si="32"/>
        <v>NO</v>
      </c>
      <c r="F154" t="str">
        <f t="shared" si="32"/>
        <v/>
      </c>
      <c r="H154" s="1196" t="str">
        <f t="shared" si="28"/>
        <v/>
      </c>
      <c r="Q154" t="str">
        <f t="shared" si="27"/>
        <v>NO</v>
      </c>
      <c r="R154" t="str">
        <f t="shared" si="27"/>
        <v>NO</v>
      </c>
      <c r="S154" t="str">
        <f t="shared" si="27"/>
        <v>NO</v>
      </c>
      <c r="T154" t="str">
        <f t="shared" si="27"/>
        <v>NO</v>
      </c>
      <c r="U154" t="str">
        <f t="shared" si="27"/>
        <v>NO</v>
      </c>
      <c r="V154" t="str">
        <f t="shared" si="27"/>
        <v/>
      </c>
      <c r="W154" t="str">
        <f t="shared" si="29"/>
        <v/>
      </c>
      <c r="X154" s="1196" t="str">
        <f t="shared" si="30"/>
        <v/>
      </c>
      <c r="AJ154" s="1196" t="str">
        <f t="shared" si="31"/>
        <v/>
      </c>
    </row>
    <row r="155" spans="1:36" x14ac:dyDescent="0.35">
      <c r="A155" t="str">
        <f t="shared" si="32"/>
        <v>NO</v>
      </c>
      <c r="B155" t="str">
        <f t="shared" si="32"/>
        <v>NO</v>
      </c>
      <c r="C155" t="str">
        <f t="shared" si="32"/>
        <v>NO</v>
      </c>
      <c r="D155" t="str">
        <f t="shared" si="32"/>
        <v>NO</v>
      </c>
      <c r="E155" t="str">
        <f t="shared" si="32"/>
        <v>NO</v>
      </c>
      <c r="F155" t="str">
        <f t="shared" si="32"/>
        <v/>
      </c>
      <c r="H155" s="1196" t="str">
        <f t="shared" si="28"/>
        <v/>
      </c>
      <c r="Q155" t="str">
        <f t="shared" ref="Q155:V186" si="33">IFERROR(IF($AA155=Q$2,_xlfn.CONCAT($Y155,$Z155),"NO"),0)</f>
        <v>NO</v>
      </c>
      <c r="R155" t="str">
        <f t="shared" si="33"/>
        <v>NO</v>
      </c>
      <c r="S155" t="str">
        <f t="shared" si="33"/>
        <v>NO</v>
      </c>
      <c r="T155" t="str">
        <f t="shared" si="33"/>
        <v>NO</v>
      </c>
      <c r="U155" t="str">
        <f t="shared" si="33"/>
        <v>NO</v>
      </c>
      <c r="V155" t="str">
        <f t="shared" si="33"/>
        <v/>
      </c>
      <c r="W155" t="str">
        <f t="shared" si="29"/>
        <v/>
      </c>
      <c r="X155" s="1196" t="str">
        <f t="shared" si="30"/>
        <v/>
      </c>
      <c r="AJ155" s="1196" t="str">
        <f t="shared" si="31"/>
        <v/>
      </c>
    </row>
    <row r="156" spans="1:36" x14ac:dyDescent="0.35">
      <c r="A156" t="str">
        <f t="shared" si="32"/>
        <v>NO</v>
      </c>
      <c r="B156" t="str">
        <f t="shared" si="32"/>
        <v>NO</v>
      </c>
      <c r="C156" t="str">
        <f t="shared" si="32"/>
        <v>NO</v>
      </c>
      <c r="D156" t="str">
        <f t="shared" si="32"/>
        <v>NO</v>
      </c>
      <c r="E156" t="str">
        <f t="shared" si="32"/>
        <v>NO</v>
      </c>
      <c r="F156" t="str">
        <f t="shared" si="32"/>
        <v/>
      </c>
      <c r="H156" s="1196" t="str">
        <f t="shared" si="28"/>
        <v/>
      </c>
      <c r="Q156" t="str">
        <f t="shared" si="33"/>
        <v>NO</v>
      </c>
      <c r="R156" t="str">
        <f t="shared" si="33"/>
        <v>NO</v>
      </c>
      <c r="S156" t="str">
        <f t="shared" si="33"/>
        <v>NO</v>
      </c>
      <c r="T156" t="str">
        <f t="shared" si="33"/>
        <v>NO</v>
      </c>
      <c r="U156" t="str">
        <f t="shared" si="33"/>
        <v>NO</v>
      </c>
      <c r="V156" t="str">
        <f t="shared" si="33"/>
        <v/>
      </c>
      <c r="W156" t="str">
        <f t="shared" si="29"/>
        <v/>
      </c>
      <c r="X156" s="1196" t="str">
        <f t="shared" si="30"/>
        <v/>
      </c>
      <c r="AJ156" s="1196" t="str">
        <f t="shared" si="31"/>
        <v/>
      </c>
    </row>
    <row r="157" spans="1:36" x14ac:dyDescent="0.35">
      <c r="A157" t="str">
        <f t="shared" si="32"/>
        <v>NO</v>
      </c>
      <c r="B157" t="str">
        <f t="shared" si="32"/>
        <v>NO</v>
      </c>
      <c r="C157" t="str">
        <f t="shared" si="32"/>
        <v>NO</v>
      </c>
      <c r="D157" t="str">
        <f t="shared" si="32"/>
        <v>NO</v>
      </c>
      <c r="E157" t="str">
        <f t="shared" si="32"/>
        <v>NO</v>
      </c>
      <c r="F157" t="str">
        <f t="shared" si="32"/>
        <v/>
      </c>
      <c r="H157" s="1196" t="str">
        <f t="shared" si="28"/>
        <v/>
      </c>
      <c r="Q157" t="str">
        <f t="shared" si="33"/>
        <v>NO</v>
      </c>
      <c r="R157" t="str">
        <f t="shared" si="33"/>
        <v>NO</v>
      </c>
      <c r="S157" t="str">
        <f t="shared" si="33"/>
        <v>NO</v>
      </c>
      <c r="T157" t="str">
        <f t="shared" si="33"/>
        <v>NO</v>
      </c>
      <c r="U157" t="str">
        <f t="shared" si="33"/>
        <v>NO</v>
      </c>
      <c r="V157" t="str">
        <f t="shared" si="33"/>
        <v/>
      </c>
      <c r="W157" t="str">
        <f t="shared" si="29"/>
        <v/>
      </c>
      <c r="X157" s="1196" t="str">
        <f t="shared" si="30"/>
        <v/>
      </c>
      <c r="AJ157" s="1196" t="str">
        <f t="shared" si="31"/>
        <v/>
      </c>
    </row>
    <row r="158" spans="1:36" x14ac:dyDescent="0.35">
      <c r="A158" t="str">
        <f t="shared" si="32"/>
        <v>NO</v>
      </c>
      <c r="B158" t="str">
        <f t="shared" si="32"/>
        <v>NO</v>
      </c>
      <c r="C158" t="str">
        <f t="shared" si="32"/>
        <v>NO</v>
      </c>
      <c r="D158" t="str">
        <f t="shared" si="32"/>
        <v>NO</v>
      </c>
      <c r="E158" t="str">
        <f t="shared" si="32"/>
        <v>NO</v>
      </c>
      <c r="F158" t="str">
        <f t="shared" si="32"/>
        <v/>
      </c>
      <c r="H158" s="1196" t="str">
        <f t="shared" si="28"/>
        <v/>
      </c>
      <c r="Q158" t="str">
        <f t="shared" si="33"/>
        <v>NO</v>
      </c>
      <c r="R158" t="str">
        <f t="shared" si="33"/>
        <v>NO</v>
      </c>
      <c r="S158" t="str">
        <f t="shared" si="33"/>
        <v>NO</v>
      </c>
      <c r="T158" t="str">
        <f t="shared" si="33"/>
        <v>NO</v>
      </c>
      <c r="U158" t="str">
        <f t="shared" si="33"/>
        <v>NO</v>
      </c>
      <c r="V158" t="str">
        <f t="shared" si="33"/>
        <v/>
      </c>
      <c r="W158" t="str">
        <f t="shared" si="29"/>
        <v/>
      </c>
      <c r="X158" s="1196" t="str">
        <f t="shared" si="30"/>
        <v/>
      </c>
      <c r="AJ158" s="1196" t="str">
        <f t="shared" si="31"/>
        <v/>
      </c>
    </row>
    <row r="159" spans="1:36" x14ac:dyDescent="0.35">
      <c r="A159" t="str">
        <f t="shared" si="32"/>
        <v>NO</v>
      </c>
      <c r="B159" t="str">
        <f t="shared" si="32"/>
        <v>NO</v>
      </c>
      <c r="C159" t="str">
        <f t="shared" si="32"/>
        <v>NO</v>
      </c>
      <c r="D159" t="str">
        <f t="shared" si="32"/>
        <v>NO</v>
      </c>
      <c r="E159" t="str">
        <f t="shared" si="32"/>
        <v>NO</v>
      </c>
      <c r="F159" t="str">
        <f t="shared" si="32"/>
        <v/>
      </c>
      <c r="H159" s="1196" t="str">
        <f t="shared" si="28"/>
        <v/>
      </c>
      <c r="Q159" t="str">
        <f t="shared" si="33"/>
        <v>NO</v>
      </c>
      <c r="R159" t="str">
        <f t="shared" si="33"/>
        <v>NO</v>
      </c>
      <c r="S159" t="str">
        <f t="shared" si="33"/>
        <v>NO</v>
      </c>
      <c r="T159" t="str">
        <f t="shared" si="33"/>
        <v>NO</v>
      </c>
      <c r="U159" t="str">
        <f t="shared" si="33"/>
        <v>NO</v>
      </c>
      <c r="V159" t="str">
        <f t="shared" si="33"/>
        <v/>
      </c>
      <c r="W159" t="str">
        <f t="shared" si="29"/>
        <v/>
      </c>
      <c r="X159" s="1196" t="str">
        <f t="shared" si="30"/>
        <v/>
      </c>
      <c r="AJ159" s="1196" t="str">
        <f t="shared" si="31"/>
        <v/>
      </c>
    </row>
    <row r="160" spans="1:36" x14ac:dyDescent="0.35">
      <c r="A160" t="str">
        <f t="shared" si="32"/>
        <v>NO</v>
      </c>
      <c r="B160" t="str">
        <f t="shared" si="32"/>
        <v>NO</v>
      </c>
      <c r="C160" t="str">
        <f t="shared" si="32"/>
        <v>NO</v>
      </c>
      <c r="D160" t="str">
        <f t="shared" si="32"/>
        <v>NO</v>
      </c>
      <c r="E160" t="str">
        <f t="shared" si="32"/>
        <v>NO</v>
      </c>
      <c r="F160" t="str">
        <f t="shared" si="32"/>
        <v/>
      </c>
      <c r="H160" s="1196" t="str">
        <f t="shared" si="28"/>
        <v/>
      </c>
      <c r="Q160" t="str">
        <f t="shared" si="33"/>
        <v>NO</v>
      </c>
      <c r="R160" t="str">
        <f t="shared" si="33"/>
        <v>NO</v>
      </c>
      <c r="S160" t="str">
        <f t="shared" si="33"/>
        <v>NO</v>
      </c>
      <c r="T160" t="str">
        <f t="shared" si="33"/>
        <v>NO</v>
      </c>
      <c r="U160" t="str">
        <f t="shared" si="33"/>
        <v>NO</v>
      </c>
      <c r="V160" t="str">
        <f t="shared" si="33"/>
        <v/>
      </c>
      <c r="W160" t="str">
        <f t="shared" si="29"/>
        <v/>
      </c>
      <c r="X160" s="1196" t="str">
        <f t="shared" si="30"/>
        <v/>
      </c>
      <c r="AJ160" s="1196" t="str">
        <f t="shared" si="31"/>
        <v/>
      </c>
    </row>
    <row r="161" spans="1:36" x14ac:dyDescent="0.35">
      <c r="A161" t="str">
        <f t="shared" si="32"/>
        <v>NO</v>
      </c>
      <c r="B161" t="str">
        <f t="shared" si="32"/>
        <v>NO</v>
      </c>
      <c r="C161" t="str">
        <f t="shared" si="32"/>
        <v>NO</v>
      </c>
      <c r="D161" t="str">
        <f t="shared" si="32"/>
        <v>NO</v>
      </c>
      <c r="E161" t="str">
        <f t="shared" si="32"/>
        <v>NO</v>
      </c>
      <c r="F161" t="str">
        <f t="shared" si="32"/>
        <v/>
      </c>
      <c r="H161" s="1196" t="str">
        <f t="shared" si="28"/>
        <v/>
      </c>
      <c r="Q161" t="str">
        <f t="shared" si="33"/>
        <v>NO</v>
      </c>
      <c r="R161" t="str">
        <f t="shared" si="33"/>
        <v>NO</v>
      </c>
      <c r="S161" t="str">
        <f t="shared" si="33"/>
        <v>NO</v>
      </c>
      <c r="T161" t="str">
        <f t="shared" si="33"/>
        <v>NO</v>
      </c>
      <c r="U161" t="str">
        <f t="shared" si="33"/>
        <v>NO</v>
      </c>
      <c r="V161" t="str">
        <f t="shared" si="33"/>
        <v/>
      </c>
      <c r="W161" t="str">
        <f t="shared" si="29"/>
        <v/>
      </c>
      <c r="X161" s="1196" t="str">
        <f t="shared" si="30"/>
        <v/>
      </c>
      <c r="AJ161" s="1196" t="str">
        <f t="shared" si="31"/>
        <v/>
      </c>
    </row>
    <row r="162" spans="1:36" x14ac:dyDescent="0.35">
      <c r="A162" t="str">
        <f t="shared" si="32"/>
        <v>NO</v>
      </c>
      <c r="B162" t="str">
        <f t="shared" si="32"/>
        <v>NO</v>
      </c>
      <c r="C162" t="str">
        <f t="shared" si="32"/>
        <v>NO</v>
      </c>
      <c r="D162" t="str">
        <f t="shared" si="32"/>
        <v>NO</v>
      </c>
      <c r="E162" t="str">
        <f t="shared" si="32"/>
        <v>NO</v>
      </c>
      <c r="F162" t="str">
        <f t="shared" si="32"/>
        <v/>
      </c>
      <c r="H162" s="1196" t="str">
        <f t="shared" si="28"/>
        <v/>
      </c>
      <c r="Q162" t="str">
        <f t="shared" si="33"/>
        <v>NO</v>
      </c>
      <c r="R162" t="str">
        <f t="shared" si="33"/>
        <v>NO</v>
      </c>
      <c r="S162" t="str">
        <f t="shared" si="33"/>
        <v>NO</v>
      </c>
      <c r="T162" t="str">
        <f t="shared" si="33"/>
        <v>NO</v>
      </c>
      <c r="U162" t="str">
        <f t="shared" si="33"/>
        <v>NO</v>
      </c>
      <c r="V162" t="str">
        <f t="shared" si="33"/>
        <v/>
      </c>
      <c r="W162" t="str">
        <f t="shared" si="29"/>
        <v/>
      </c>
      <c r="X162" s="1196" t="str">
        <f t="shared" si="30"/>
        <v/>
      </c>
      <c r="AJ162" s="1196" t="str">
        <f t="shared" si="31"/>
        <v/>
      </c>
    </row>
    <row r="163" spans="1:36" x14ac:dyDescent="0.35">
      <c r="A163" t="str">
        <f t="shared" si="32"/>
        <v>NO</v>
      </c>
      <c r="B163" t="str">
        <f t="shared" si="32"/>
        <v>NO</v>
      </c>
      <c r="C163" t="str">
        <f t="shared" si="32"/>
        <v>NO</v>
      </c>
      <c r="D163" t="str">
        <f t="shared" si="32"/>
        <v>NO</v>
      </c>
      <c r="E163" t="str">
        <f t="shared" si="32"/>
        <v>NO</v>
      </c>
      <c r="F163" t="str">
        <f t="shared" si="32"/>
        <v/>
      </c>
      <c r="H163" s="1196" t="str">
        <f t="shared" si="28"/>
        <v/>
      </c>
      <c r="Q163" t="str">
        <f t="shared" si="33"/>
        <v>NO</v>
      </c>
      <c r="R163" t="str">
        <f t="shared" si="33"/>
        <v>NO</v>
      </c>
      <c r="S163" t="str">
        <f t="shared" si="33"/>
        <v>NO</v>
      </c>
      <c r="T163" t="str">
        <f t="shared" si="33"/>
        <v>NO</v>
      </c>
      <c r="U163" t="str">
        <f t="shared" si="33"/>
        <v>NO</v>
      </c>
      <c r="V163" t="str">
        <f t="shared" si="33"/>
        <v/>
      </c>
      <c r="W163" t="str">
        <f t="shared" si="29"/>
        <v/>
      </c>
      <c r="X163" s="1196" t="str">
        <f t="shared" si="30"/>
        <v/>
      </c>
      <c r="AJ163" s="1196" t="str">
        <f t="shared" si="31"/>
        <v/>
      </c>
    </row>
    <row r="164" spans="1:36" x14ac:dyDescent="0.35">
      <c r="A164" t="str">
        <f t="shared" si="32"/>
        <v>NO</v>
      </c>
      <c r="B164" t="str">
        <f t="shared" si="32"/>
        <v>NO</v>
      </c>
      <c r="C164" t="str">
        <f t="shared" si="32"/>
        <v>NO</v>
      </c>
      <c r="D164" t="str">
        <f t="shared" si="32"/>
        <v>NO</v>
      </c>
      <c r="E164" t="str">
        <f t="shared" si="32"/>
        <v>NO</v>
      </c>
      <c r="F164" t="str">
        <f t="shared" si="32"/>
        <v/>
      </c>
      <c r="H164" s="1196" t="str">
        <f t="shared" si="28"/>
        <v/>
      </c>
      <c r="Q164" t="str">
        <f t="shared" si="33"/>
        <v>NO</v>
      </c>
      <c r="R164" t="str">
        <f t="shared" si="33"/>
        <v>NO</v>
      </c>
      <c r="S164" t="str">
        <f t="shared" si="33"/>
        <v>NO</v>
      </c>
      <c r="T164" t="str">
        <f t="shared" si="33"/>
        <v>NO</v>
      </c>
      <c r="U164" t="str">
        <f t="shared" si="33"/>
        <v>NO</v>
      </c>
      <c r="V164" t="str">
        <f t="shared" si="33"/>
        <v/>
      </c>
      <c r="W164" t="str">
        <f t="shared" si="29"/>
        <v/>
      </c>
      <c r="X164" s="1196" t="str">
        <f t="shared" si="30"/>
        <v/>
      </c>
      <c r="AJ164" s="1196" t="str">
        <f t="shared" si="31"/>
        <v/>
      </c>
    </row>
    <row r="165" spans="1:36" x14ac:dyDescent="0.35">
      <c r="A165" t="str">
        <f t="shared" si="32"/>
        <v>NO</v>
      </c>
      <c r="B165" t="str">
        <f t="shared" si="32"/>
        <v>NO</v>
      </c>
      <c r="C165" t="str">
        <f t="shared" si="32"/>
        <v>NO</v>
      </c>
      <c r="D165" t="str">
        <f t="shared" si="32"/>
        <v>NO</v>
      </c>
      <c r="E165" t="str">
        <f t="shared" si="32"/>
        <v>NO</v>
      </c>
      <c r="F165" t="str">
        <f t="shared" si="32"/>
        <v/>
      </c>
      <c r="H165" s="1196" t="str">
        <f t="shared" si="28"/>
        <v/>
      </c>
      <c r="Q165" t="str">
        <f t="shared" si="33"/>
        <v>NO</v>
      </c>
      <c r="R165" t="str">
        <f t="shared" si="33"/>
        <v>NO</v>
      </c>
      <c r="S165" t="str">
        <f t="shared" si="33"/>
        <v>NO</v>
      </c>
      <c r="T165" t="str">
        <f t="shared" si="33"/>
        <v>NO</v>
      </c>
      <c r="U165" t="str">
        <f t="shared" si="33"/>
        <v>NO</v>
      </c>
      <c r="V165" t="str">
        <f t="shared" si="33"/>
        <v/>
      </c>
      <c r="W165" t="str">
        <f t="shared" si="29"/>
        <v/>
      </c>
      <c r="X165" s="1196" t="str">
        <f t="shared" si="30"/>
        <v/>
      </c>
      <c r="AJ165" s="1196" t="str">
        <f t="shared" si="31"/>
        <v/>
      </c>
    </row>
    <row r="166" spans="1:36" x14ac:dyDescent="0.35">
      <c r="A166" t="str">
        <f t="shared" si="32"/>
        <v>NO</v>
      </c>
      <c r="B166" t="str">
        <f t="shared" si="32"/>
        <v>NO</v>
      </c>
      <c r="C166" t="str">
        <f t="shared" si="32"/>
        <v>NO</v>
      </c>
      <c r="D166" t="str">
        <f t="shared" si="32"/>
        <v>NO</v>
      </c>
      <c r="E166" t="str">
        <f t="shared" si="32"/>
        <v>NO</v>
      </c>
      <c r="F166" t="str">
        <f t="shared" si="32"/>
        <v/>
      </c>
      <c r="H166" s="1196" t="str">
        <f t="shared" si="28"/>
        <v/>
      </c>
      <c r="Q166" t="str">
        <f t="shared" si="33"/>
        <v>NO</v>
      </c>
      <c r="R166" t="str">
        <f t="shared" si="33"/>
        <v>NO</v>
      </c>
      <c r="S166" t="str">
        <f t="shared" si="33"/>
        <v>NO</v>
      </c>
      <c r="T166" t="str">
        <f t="shared" si="33"/>
        <v>NO</v>
      </c>
      <c r="U166" t="str">
        <f t="shared" si="33"/>
        <v>NO</v>
      </c>
      <c r="V166" t="str">
        <f t="shared" si="33"/>
        <v/>
      </c>
      <c r="W166" t="str">
        <f t="shared" si="29"/>
        <v/>
      </c>
      <c r="X166" s="1196" t="str">
        <f t="shared" si="30"/>
        <v/>
      </c>
      <c r="AJ166" s="1196" t="str">
        <f t="shared" si="31"/>
        <v/>
      </c>
    </row>
    <row r="167" spans="1:36" x14ac:dyDescent="0.35">
      <c r="A167" t="str">
        <f t="shared" si="32"/>
        <v>NO</v>
      </c>
      <c r="B167" t="str">
        <f t="shared" si="32"/>
        <v>NO</v>
      </c>
      <c r="C167" t="str">
        <f t="shared" si="32"/>
        <v>NO</v>
      </c>
      <c r="D167" t="str">
        <f t="shared" si="32"/>
        <v>NO</v>
      </c>
      <c r="E167" t="str">
        <f t="shared" si="32"/>
        <v>NO</v>
      </c>
      <c r="F167" t="str">
        <f t="shared" si="32"/>
        <v/>
      </c>
      <c r="H167" s="1196" t="str">
        <f t="shared" si="28"/>
        <v/>
      </c>
      <c r="Q167" t="str">
        <f t="shared" si="33"/>
        <v>NO</v>
      </c>
      <c r="R167" t="str">
        <f t="shared" si="33"/>
        <v>NO</v>
      </c>
      <c r="S167" t="str">
        <f t="shared" si="33"/>
        <v>NO</v>
      </c>
      <c r="T167" t="str">
        <f t="shared" si="33"/>
        <v>NO</v>
      </c>
      <c r="U167" t="str">
        <f t="shared" si="33"/>
        <v>NO</v>
      </c>
      <c r="V167" t="str">
        <f t="shared" si="33"/>
        <v/>
      </c>
      <c r="W167" t="str">
        <f t="shared" si="29"/>
        <v/>
      </c>
      <c r="X167" s="1196" t="str">
        <f t="shared" si="30"/>
        <v/>
      </c>
      <c r="AJ167" s="1196" t="str">
        <f t="shared" si="31"/>
        <v/>
      </c>
    </row>
    <row r="168" spans="1:36" x14ac:dyDescent="0.35">
      <c r="A168" t="str">
        <f t="shared" si="32"/>
        <v>NO</v>
      </c>
      <c r="B168" t="str">
        <f t="shared" si="32"/>
        <v>NO</v>
      </c>
      <c r="C168" t="str">
        <f t="shared" si="32"/>
        <v>NO</v>
      </c>
      <c r="D168" t="str">
        <f t="shared" si="32"/>
        <v>NO</v>
      </c>
      <c r="E168" t="str">
        <f t="shared" si="32"/>
        <v>NO</v>
      </c>
      <c r="F168" t="str">
        <f t="shared" si="32"/>
        <v/>
      </c>
      <c r="H168" s="1196" t="str">
        <f t="shared" si="28"/>
        <v/>
      </c>
      <c r="Q168" t="str">
        <f t="shared" si="33"/>
        <v>NO</v>
      </c>
      <c r="R168" t="str">
        <f t="shared" si="33"/>
        <v>NO</v>
      </c>
      <c r="S168" t="str">
        <f t="shared" si="33"/>
        <v>NO</v>
      </c>
      <c r="T168" t="str">
        <f t="shared" si="33"/>
        <v>NO</v>
      </c>
      <c r="U168" t="str">
        <f t="shared" si="33"/>
        <v>NO</v>
      </c>
      <c r="V168" t="str">
        <f t="shared" si="33"/>
        <v/>
      </c>
      <c r="W168" t="str">
        <f t="shared" si="29"/>
        <v/>
      </c>
      <c r="X168" s="1196" t="str">
        <f t="shared" si="30"/>
        <v/>
      </c>
      <c r="AJ168" s="1196" t="str">
        <f t="shared" si="31"/>
        <v/>
      </c>
    </row>
    <row r="169" spans="1:36" x14ac:dyDescent="0.35">
      <c r="A169" t="str">
        <f t="shared" si="32"/>
        <v>NO</v>
      </c>
      <c r="B169" t="str">
        <f t="shared" si="32"/>
        <v>NO</v>
      </c>
      <c r="C169" t="str">
        <f t="shared" si="32"/>
        <v>NO</v>
      </c>
      <c r="D169" t="str">
        <f t="shared" si="32"/>
        <v>NO</v>
      </c>
      <c r="E169" t="str">
        <f t="shared" si="32"/>
        <v>NO</v>
      </c>
      <c r="F169" t="str">
        <f t="shared" si="32"/>
        <v/>
      </c>
      <c r="H169" s="1196" t="str">
        <f t="shared" si="28"/>
        <v/>
      </c>
      <c r="Q169" t="str">
        <f t="shared" si="33"/>
        <v>NO</v>
      </c>
      <c r="R169" t="str">
        <f t="shared" si="33"/>
        <v>NO</v>
      </c>
      <c r="S169" t="str">
        <f t="shared" si="33"/>
        <v>NO</v>
      </c>
      <c r="T169" t="str">
        <f t="shared" si="33"/>
        <v>NO</v>
      </c>
      <c r="U169" t="str">
        <f t="shared" si="33"/>
        <v>NO</v>
      </c>
      <c r="V169" t="str">
        <f t="shared" si="33"/>
        <v/>
      </c>
      <c r="W169" t="str">
        <f t="shared" si="29"/>
        <v/>
      </c>
      <c r="X169" s="1196" t="str">
        <f t="shared" si="30"/>
        <v/>
      </c>
      <c r="AJ169" s="1196" t="str">
        <f t="shared" si="31"/>
        <v/>
      </c>
    </row>
    <row r="170" spans="1:36" x14ac:dyDescent="0.35">
      <c r="A170" t="str">
        <f t="shared" si="32"/>
        <v>NO</v>
      </c>
      <c r="B170" t="str">
        <f t="shared" si="32"/>
        <v>NO</v>
      </c>
      <c r="C170" t="str">
        <f t="shared" si="32"/>
        <v>NO</v>
      </c>
      <c r="D170" t="str">
        <f t="shared" si="32"/>
        <v>NO</v>
      </c>
      <c r="E170" t="str">
        <f t="shared" si="32"/>
        <v>NO</v>
      </c>
      <c r="F170" t="str">
        <f t="shared" si="32"/>
        <v/>
      </c>
      <c r="H170" s="1196" t="str">
        <f t="shared" si="28"/>
        <v/>
      </c>
      <c r="Q170" t="str">
        <f t="shared" si="33"/>
        <v>NO</v>
      </c>
      <c r="R170" t="str">
        <f t="shared" si="33"/>
        <v>NO</v>
      </c>
      <c r="S170" t="str">
        <f t="shared" si="33"/>
        <v>NO</v>
      </c>
      <c r="T170" t="str">
        <f t="shared" si="33"/>
        <v>NO</v>
      </c>
      <c r="U170" t="str">
        <f t="shared" si="33"/>
        <v>NO</v>
      </c>
      <c r="V170" t="str">
        <f t="shared" si="33"/>
        <v/>
      </c>
      <c r="W170" t="str">
        <f t="shared" si="29"/>
        <v/>
      </c>
      <c r="X170" s="1196" t="str">
        <f t="shared" si="30"/>
        <v/>
      </c>
      <c r="AJ170" s="1196" t="str">
        <f t="shared" si="31"/>
        <v/>
      </c>
    </row>
    <row r="171" spans="1:36" x14ac:dyDescent="0.35">
      <c r="A171" t="str">
        <f t="shared" si="32"/>
        <v>NO</v>
      </c>
      <c r="B171" t="str">
        <f t="shared" si="32"/>
        <v>NO</v>
      </c>
      <c r="C171" t="str">
        <f t="shared" si="32"/>
        <v>NO</v>
      </c>
      <c r="D171" t="str">
        <f t="shared" si="32"/>
        <v>NO</v>
      </c>
      <c r="E171" t="str">
        <f t="shared" si="32"/>
        <v>NO</v>
      </c>
      <c r="F171" t="str">
        <f t="shared" si="32"/>
        <v/>
      </c>
      <c r="H171" s="1196" t="str">
        <f t="shared" si="28"/>
        <v/>
      </c>
      <c r="Q171" t="str">
        <f t="shared" si="33"/>
        <v>NO</v>
      </c>
      <c r="R171" t="str">
        <f t="shared" si="33"/>
        <v>NO</v>
      </c>
      <c r="S171" t="str">
        <f t="shared" si="33"/>
        <v>NO</v>
      </c>
      <c r="T171" t="str">
        <f t="shared" si="33"/>
        <v>NO</v>
      </c>
      <c r="U171" t="str">
        <f t="shared" si="33"/>
        <v>NO</v>
      </c>
      <c r="V171" t="str">
        <f t="shared" si="33"/>
        <v/>
      </c>
      <c r="W171" t="str">
        <f t="shared" si="29"/>
        <v/>
      </c>
      <c r="X171" s="1196" t="str">
        <f t="shared" si="30"/>
        <v/>
      </c>
      <c r="AJ171" s="1196" t="str">
        <f t="shared" si="31"/>
        <v/>
      </c>
    </row>
    <row r="172" spans="1:36" x14ac:dyDescent="0.35">
      <c r="A172" t="str">
        <f t="shared" si="32"/>
        <v>NO</v>
      </c>
      <c r="B172" t="str">
        <f t="shared" si="32"/>
        <v>NO</v>
      </c>
      <c r="C172" t="str">
        <f t="shared" si="32"/>
        <v>NO</v>
      </c>
      <c r="D172" t="str">
        <f t="shared" si="32"/>
        <v>NO</v>
      </c>
      <c r="E172" t="str">
        <f t="shared" si="32"/>
        <v>NO</v>
      </c>
      <c r="F172" t="str">
        <f t="shared" si="32"/>
        <v/>
      </c>
      <c r="H172" s="1196" t="str">
        <f t="shared" si="28"/>
        <v/>
      </c>
      <c r="Q172" t="str">
        <f t="shared" si="33"/>
        <v>NO</v>
      </c>
      <c r="R172" t="str">
        <f t="shared" si="33"/>
        <v>NO</v>
      </c>
      <c r="S172" t="str">
        <f t="shared" si="33"/>
        <v>NO</v>
      </c>
      <c r="T172" t="str">
        <f t="shared" si="33"/>
        <v>NO</v>
      </c>
      <c r="U172" t="str">
        <f t="shared" si="33"/>
        <v>NO</v>
      </c>
      <c r="V172" t="str">
        <f t="shared" si="33"/>
        <v/>
      </c>
      <c r="W172" t="str">
        <f t="shared" si="29"/>
        <v/>
      </c>
      <c r="X172" s="1196" t="str">
        <f t="shared" si="30"/>
        <v/>
      </c>
      <c r="AJ172" s="1196" t="str">
        <f t="shared" si="31"/>
        <v/>
      </c>
    </row>
    <row r="173" spans="1:36" x14ac:dyDescent="0.35">
      <c r="A173" t="str">
        <f t="shared" si="32"/>
        <v>NO</v>
      </c>
      <c r="B173" t="str">
        <f t="shared" si="32"/>
        <v>NO</v>
      </c>
      <c r="C173" t="str">
        <f t="shared" si="32"/>
        <v>NO</v>
      </c>
      <c r="D173" t="str">
        <f t="shared" si="32"/>
        <v>NO</v>
      </c>
      <c r="E173" t="str">
        <f t="shared" si="32"/>
        <v>NO</v>
      </c>
      <c r="F173" t="str">
        <f t="shared" si="32"/>
        <v/>
      </c>
      <c r="H173" s="1196" t="str">
        <f t="shared" si="28"/>
        <v/>
      </c>
      <c r="Q173" t="str">
        <f t="shared" si="33"/>
        <v>NO</v>
      </c>
      <c r="R173" t="str">
        <f t="shared" si="33"/>
        <v>NO</v>
      </c>
      <c r="S173" t="str">
        <f t="shared" si="33"/>
        <v>NO</v>
      </c>
      <c r="T173" t="str">
        <f t="shared" si="33"/>
        <v>NO</v>
      </c>
      <c r="U173" t="str">
        <f t="shared" si="33"/>
        <v>NO</v>
      </c>
      <c r="V173" t="str">
        <f t="shared" si="33"/>
        <v/>
      </c>
      <c r="W173" t="str">
        <f t="shared" si="29"/>
        <v/>
      </c>
      <c r="X173" s="1196" t="str">
        <f t="shared" si="30"/>
        <v/>
      </c>
      <c r="AJ173" s="1196" t="str">
        <f t="shared" si="31"/>
        <v/>
      </c>
    </row>
    <row r="174" spans="1:36" x14ac:dyDescent="0.35">
      <c r="A174" t="str">
        <f t="shared" si="32"/>
        <v>NO</v>
      </c>
      <c r="B174" t="str">
        <f t="shared" si="32"/>
        <v>NO</v>
      </c>
      <c r="C174" t="str">
        <f t="shared" si="32"/>
        <v>NO</v>
      </c>
      <c r="D174" t="str">
        <f t="shared" si="32"/>
        <v>NO</v>
      </c>
      <c r="E174" t="str">
        <f t="shared" si="32"/>
        <v>NO</v>
      </c>
      <c r="F174" t="str">
        <f t="shared" si="32"/>
        <v/>
      </c>
      <c r="H174" s="1196" t="str">
        <f t="shared" si="28"/>
        <v/>
      </c>
      <c r="Q174" t="str">
        <f t="shared" si="33"/>
        <v>NO</v>
      </c>
      <c r="R174" t="str">
        <f t="shared" si="33"/>
        <v>NO</v>
      </c>
      <c r="S174" t="str">
        <f t="shared" si="33"/>
        <v>NO</v>
      </c>
      <c r="T174" t="str">
        <f t="shared" si="33"/>
        <v>NO</v>
      </c>
      <c r="U174" t="str">
        <f t="shared" si="33"/>
        <v>NO</v>
      </c>
      <c r="V174" t="str">
        <f t="shared" si="33"/>
        <v/>
      </c>
      <c r="W174" t="str">
        <f t="shared" si="29"/>
        <v/>
      </c>
      <c r="X174" s="1196" t="str">
        <f t="shared" si="30"/>
        <v/>
      </c>
      <c r="AJ174" s="1196" t="str">
        <f t="shared" si="31"/>
        <v/>
      </c>
    </row>
    <row r="175" spans="1:36" x14ac:dyDescent="0.35">
      <c r="A175" t="str">
        <f t="shared" si="32"/>
        <v>NO</v>
      </c>
      <c r="B175" t="str">
        <f t="shared" si="32"/>
        <v>NO</v>
      </c>
      <c r="C175" t="str">
        <f t="shared" si="32"/>
        <v>NO</v>
      </c>
      <c r="D175" t="str">
        <f t="shared" si="32"/>
        <v>NO</v>
      </c>
      <c r="E175" t="str">
        <f t="shared" si="32"/>
        <v>NO</v>
      </c>
      <c r="F175" t="str">
        <f t="shared" si="32"/>
        <v/>
      </c>
      <c r="H175" s="1196" t="str">
        <f t="shared" si="28"/>
        <v/>
      </c>
      <c r="Q175" t="str">
        <f t="shared" si="33"/>
        <v>NO</v>
      </c>
      <c r="R175" t="str">
        <f t="shared" si="33"/>
        <v>NO</v>
      </c>
      <c r="S175" t="str">
        <f t="shared" si="33"/>
        <v>NO</v>
      </c>
      <c r="T175" t="str">
        <f t="shared" si="33"/>
        <v>NO</v>
      </c>
      <c r="U175" t="str">
        <f t="shared" si="33"/>
        <v>NO</v>
      </c>
      <c r="V175" t="str">
        <f t="shared" si="33"/>
        <v/>
      </c>
      <c r="W175" t="str">
        <f t="shared" si="29"/>
        <v/>
      </c>
      <c r="X175" s="1196" t="str">
        <f t="shared" si="30"/>
        <v/>
      </c>
      <c r="AJ175" s="1196" t="str">
        <f t="shared" si="31"/>
        <v/>
      </c>
    </row>
    <row r="176" spans="1:36" x14ac:dyDescent="0.35">
      <c r="A176" t="str">
        <f t="shared" si="32"/>
        <v>NO</v>
      </c>
      <c r="B176" t="str">
        <f t="shared" si="32"/>
        <v>NO</v>
      </c>
      <c r="C176" t="str">
        <f t="shared" si="32"/>
        <v>NO</v>
      </c>
      <c r="D176" t="str">
        <f t="shared" si="32"/>
        <v>NO</v>
      </c>
      <c r="E176" t="str">
        <f t="shared" si="32"/>
        <v>NO</v>
      </c>
      <c r="F176" t="str">
        <f t="shared" si="32"/>
        <v/>
      </c>
      <c r="H176" s="1196" t="str">
        <f t="shared" si="28"/>
        <v/>
      </c>
      <c r="Q176" t="str">
        <f t="shared" si="33"/>
        <v>NO</v>
      </c>
      <c r="R176" t="str">
        <f t="shared" si="33"/>
        <v>NO</v>
      </c>
      <c r="S176" t="str">
        <f t="shared" si="33"/>
        <v>NO</v>
      </c>
      <c r="T176" t="str">
        <f t="shared" si="33"/>
        <v>NO</v>
      </c>
      <c r="U176" t="str">
        <f t="shared" si="33"/>
        <v>NO</v>
      </c>
      <c r="V176" t="str">
        <f t="shared" si="33"/>
        <v/>
      </c>
      <c r="W176" t="str">
        <f t="shared" si="29"/>
        <v/>
      </c>
      <c r="X176" s="1196" t="str">
        <f t="shared" si="30"/>
        <v/>
      </c>
      <c r="AJ176" s="1196" t="str">
        <f t="shared" si="31"/>
        <v/>
      </c>
    </row>
    <row r="177" spans="1:36" x14ac:dyDescent="0.35">
      <c r="A177" t="str">
        <f t="shared" si="32"/>
        <v>NO</v>
      </c>
      <c r="B177" t="str">
        <f t="shared" si="32"/>
        <v>NO</v>
      </c>
      <c r="C177" t="str">
        <f t="shared" si="32"/>
        <v>NO</v>
      </c>
      <c r="D177" t="str">
        <f t="shared" si="32"/>
        <v>NO</v>
      </c>
      <c r="E177" t="str">
        <f t="shared" si="32"/>
        <v>NO</v>
      </c>
      <c r="F177" t="str">
        <f t="shared" si="32"/>
        <v/>
      </c>
      <c r="H177" s="1196" t="str">
        <f t="shared" si="28"/>
        <v/>
      </c>
      <c r="Q177" t="str">
        <f t="shared" si="33"/>
        <v>NO</v>
      </c>
      <c r="R177" t="str">
        <f t="shared" si="33"/>
        <v>NO</v>
      </c>
      <c r="S177" t="str">
        <f t="shared" si="33"/>
        <v>NO</v>
      </c>
      <c r="T177" t="str">
        <f t="shared" si="33"/>
        <v>NO</v>
      </c>
      <c r="U177" t="str">
        <f t="shared" si="33"/>
        <v>NO</v>
      </c>
      <c r="V177" t="str">
        <f t="shared" si="33"/>
        <v/>
      </c>
      <c r="W177" t="str">
        <f t="shared" si="29"/>
        <v/>
      </c>
      <c r="X177" s="1196" t="str">
        <f t="shared" si="30"/>
        <v/>
      </c>
      <c r="AJ177" s="1196" t="str">
        <f t="shared" si="31"/>
        <v/>
      </c>
    </row>
    <row r="178" spans="1:36" x14ac:dyDescent="0.35">
      <c r="A178" t="str">
        <f t="shared" si="32"/>
        <v>NO</v>
      </c>
      <c r="B178" t="str">
        <f t="shared" si="32"/>
        <v>NO</v>
      </c>
      <c r="C178" t="str">
        <f t="shared" si="32"/>
        <v>NO</v>
      </c>
      <c r="D178" t="str">
        <f t="shared" si="32"/>
        <v>NO</v>
      </c>
      <c r="E178" t="str">
        <f t="shared" si="32"/>
        <v>NO</v>
      </c>
      <c r="F178" t="str">
        <f t="shared" si="32"/>
        <v/>
      </c>
      <c r="H178" s="1196" t="str">
        <f t="shared" si="28"/>
        <v/>
      </c>
      <c r="Q178" t="str">
        <f t="shared" si="33"/>
        <v>NO</v>
      </c>
      <c r="R178" t="str">
        <f t="shared" si="33"/>
        <v>NO</v>
      </c>
      <c r="S178" t="str">
        <f t="shared" si="33"/>
        <v>NO</v>
      </c>
      <c r="T178" t="str">
        <f t="shared" si="33"/>
        <v>NO</v>
      </c>
      <c r="U178" t="str">
        <f t="shared" si="33"/>
        <v>NO</v>
      </c>
      <c r="V178" t="str">
        <f t="shared" si="33"/>
        <v/>
      </c>
      <c r="W178" t="str">
        <f t="shared" si="29"/>
        <v/>
      </c>
      <c r="X178" s="1196" t="str">
        <f t="shared" si="30"/>
        <v/>
      </c>
      <c r="AJ178" s="1196" t="str">
        <f t="shared" si="31"/>
        <v/>
      </c>
    </row>
    <row r="179" spans="1:36" x14ac:dyDescent="0.35">
      <c r="A179" t="str">
        <f t="shared" si="32"/>
        <v>NO</v>
      </c>
      <c r="B179" t="str">
        <f t="shared" si="32"/>
        <v>NO</v>
      </c>
      <c r="C179" t="str">
        <f t="shared" si="32"/>
        <v>NO</v>
      </c>
      <c r="D179" t="str">
        <f t="shared" si="32"/>
        <v>NO</v>
      </c>
      <c r="E179" t="str">
        <f t="shared" si="32"/>
        <v>NO</v>
      </c>
      <c r="F179" t="str">
        <f t="shared" si="32"/>
        <v/>
      </c>
      <c r="H179" s="1196" t="str">
        <f t="shared" si="28"/>
        <v/>
      </c>
      <c r="Q179" t="str">
        <f t="shared" si="33"/>
        <v>NO</v>
      </c>
      <c r="R179" t="str">
        <f t="shared" si="33"/>
        <v>NO</v>
      </c>
      <c r="S179" t="str">
        <f t="shared" si="33"/>
        <v>NO</v>
      </c>
      <c r="T179" t="str">
        <f t="shared" si="33"/>
        <v>NO</v>
      </c>
      <c r="U179" t="str">
        <f t="shared" si="33"/>
        <v>NO</v>
      </c>
      <c r="V179" t="str">
        <f t="shared" si="33"/>
        <v/>
      </c>
      <c r="W179" t="str">
        <f t="shared" si="29"/>
        <v/>
      </c>
      <c r="X179" s="1196" t="str">
        <f t="shared" si="30"/>
        <v/>
      </c>
      <c r="AJ179" s="1196" t="str">
        <f t="shared" si="31"/>
        <v/>
      </c>
    </row>
    <row r="180" spans="1:36" x14ac:dyDescent="0.35">
      <c r="A180" t="str">
        <f t="shared" si="32"/>
        <v>NO</v>
      </c>
      <c r="B180" t="str">
        <f t="shared" si="32"/>
        <v>NO</v>
      </c>
      <c r="C180" t="str">
        <f t="shared" si="32"/>
        <v>NO</v>
      </c>
      <c r="D180" t="str">
        <f t="shared" si="32"/>
        <v>NO</v>
      </c>
      <c r="E180" t="str">
        <f t="shared" si="32"/>
        <v>NO</v>
      </c>
      <c r="F180" t="str">
        <f t="shared" si="32"/>
        <v/>
      </c>
      <c r="H180" s="1196" t="str">
        <f t="shared" si="28"/>
        <v/>
      </c>
      <c r="Q180" t="str">
        <f t="shared" si="33"/>
        <v>NO</v>
      </c>
      <c r="R180" t="str">
        <f t="shared" si="33"/>
        <v>NO</v>
      </c>
      <c r="S180" t="str">
        <f t="shared" si="33"/>
        <v>NO</v>
      </c>
      <c r="T180" t="str">
        <f t="shared" si="33"/>
        <v>NO</v>
      </c>
      <c r="U180" t="str">
        <f t="shared" si="33"/>
        <v>NO</v>
      </c>
      <c r="V180" t="str">
        <f t="shared" si="33"/>
        <v/>
      </c>
      <c r="W180" t="str">
        <f t="shared" si="29"/>
        <v/>
      </c>
      <c r="X180" s="1196" t="str">
        <f t="shared" si="30"/>
        <v/>
      </c>
      <c r="AJ180" s="1196" t="str">
        <f t="shared" si="31"/>
        <v/>
      </c>
    </row>
    <row r="181" spans="1:36" x14ac:dyDescent="0.35">
      <c r="A181" t="str">
        <f t="shared" si="32"/>
        <v>NO</v>
      </c>
      <c r="B181" t="str">
        <f t="shared" si="32"/>
        <v>NO</v>
      </c>
      <c r="C181" t="str">
        <f t="shared" si="32"/>
        <v>NO</v>
      </c>
      <c r="D181" t="str">
        <f t="shared" si="32"/>
        <v>NO</v>
      </c>
      <c r="E181" t="str">
        <f t="shared" si="32"/>
        <v>NO</v>
      </c>
      <c r="F181" t="str">
        <f t="shared" si="32"/>
        <v/>
      </c>
      <c r="H181" s="1196" t="str">
        <f t="shared" si="28"/>
        <v/>
      </c>
      <c r="Q181" t="str">
        <f t="shared" si="33"/>
        <v>NO</v>
      </c>
      <c r="R181" t="str">
        <f t="shared" si="33"/>
        <v>NO</v>
      </c>
      <c r="S181" t="str">
        <f t="shared" si="33"/>
        <v>NO</v>
      </c>
      <c r="T181" t="str">
        <f t="shared" si="33"/>
        <v>NO</v>
      </c>
      <c r="U181" t="str">
        <f t="shared" si="33"/>
        <v>NO</v>
      </c>
      <c r="V181" t="str">
        <f t="shared" si="33"/>
        <v/>
      </c>
      <c r="W181" t="str">
        <f t="shared" si="29"/>
        <v/>
      </c>
      <c r="X181" s="1196" t="str">
        <f t="shared" si="30"/>
        <v/>
      </c>
      <c r="AJ181" s="1196" t="str">
        <f t="shared" si="31"/>
        <v/>
      </c>
    </row>
    <row r="182" spans="1:36" x14ac:dyDescent="0.35">
      <c r="A182" t="str">
        <f t="shared" si="32"/>
        <v>NO</v>
      </c>
      <c r="B182" t="str">
        <f t="shared" si="32"/>
        <v>NO</v>
      </c>
      <c r="C182" t="str">
        <f t="shared" si="32"/>
        <v>NO</v>
      </c>
      <c r="D182" t="str">
        <f t="shared" si="32"/>
        <v>NO</v>
      </c>
      <c r="E182" t="str">
        <f t="shared" si="32"/>
        <v>NO</v>
      </c>
      <c r="F182" t="str">
        <f t="shared" si="32"/>
        <v/>
      </c>
      <c r="H182" s="1196" t="str">
        <f t="shared" si="28"/>
        <v/>
      </c>
      <c r="Q182" t="str">
        <f t="shared" si="33"/>
        <v>NO</v>
      </c>
      <c r="R182" t="str">
        <f t="shared" si="33"/>
        <v>NO</v>
      </c>
      <c r="S182" t="str">
        <f t="shared" si="33"/>
        <v>NO</v>
      </c>
      <c r="T182" t="str">
        <f t="shared" si="33"/>
        <v>NO</v>
      </c>
      <c r="U182" t="str">
        <f t="shared" si="33"/>
        <v>NO</v>
      </c>
      <c r="V182" t="str">
        <f t="shared" si="33"/>
        <v/>
      </c>
      <c r="W182" t="str">
        <f t="shared" si="29"/>
        <v/>
      </c>
      <c r="X182" s="1196" t="str">
        <f t="shared" si="30"/>
        <v/>
      </c>
      <c r="AJ182" s="1196" t="str">
        <f t="shared" si="31"/>
        <v/>
      </c>
    </row>
    <row r="183" spans="1:36" x14ac:dyDescent="0.35">
      <c r="A183" t="str">
        <f t="shared" si="32"/>
        <v>NO</v>
      </c>
      <c r="B183" t="str">
        <f t="shared" si="32"/>
        <v>NO</v>
      </c>
      <c r="C183" t="str">
        <f t="shared" si="32"/>
        <v>NO</v>
      </c>
      <c r="D183" t="str">
        <f t="shared" si="32"/>
        <v>NO</v>
      </c>
      <c r="E183" t="str">
        <f t="shared" si="32"/>
        <v>NO</v>
      </c>
      <c r="F183" t="str">
        <f t="shared" si="32"/>
        <v/>
      </c>
      <c r="H183" s="1196" t="str">
        <f t="shared" si="28"/>
        <v/>
      </c>
      <c r="Q183" t="str">
        <f t="shared" si="33"/>
        <v>NO</v>
      </c>
      <c r="R183" t="str">
        <f t="shared" si="33"/>
        <v>NO</v>
      </c>
      <c r="S183" t="str">
        <f t="shared" si="33"/>
        <v>NO</v>
      </c>
      <c r="T183" t="str">
        <f t="shared" si="33"/>
        <v>NO</v>
      </c>
      <c r="U183" t="str">
        <f t="shared" si="33"/>
        <v>NO</v>
      </c>
      <c r="V183" t="str">
        <f t="shared" si="33"/>
        <v/>
      </c>
      <c r="W183" t="str">
        <f t="shared" si="29"/>
        <v/>
      </c>
      <c r="X183" s="1196" t="str">
        <f t="shared" si="30"/>
        <v/>
      </c>
      <c r="AJ183" s="1196" t="str">
        <f t="shared" si="31"/>
        <v/>
      </c>
    </row>
    <row r="184" spans="1:36" x14ac:dyDescent="0.35">
      <c r="A184" t="str">
        <f t="shared" si="32"/>
        <v>NO</v>
      </c>
      <c r="B184" t="str">
        <f t="shared" si="32"/>
        <v>NO</v>
      </c>
      <c r="C184" t="str">
        <f t="shared" si="32"/>
        <v>NO</v>
      </c>
      <c r="D184" t="str">
        <f t="shared" si="32"/>
        <v>NO</v>
      </c>
      <c r="E184" t="str">
        <f t="shared" si="32"/>
        <v>NO</v>
      </c>
      <c r="F184" t="str">
        <f t="shared" si="32"/>
        <v/>
      </c>
      <c r="H184" s="1196" t="str">
        <f t="shared" si="28"/>
        <v/>
      </c>
      <c r="Q184" t="str">
        <f t="shared" si="33"/>
        <v>NO</v>
      </c>
      <c r="R184" t="str">
        <f t="shared" si="33"/>
        <v>NO</v>
      </c>
      <c r="S184" t="str">
        <f t="shared" si="33"/>
        <v>NO</v>
      </c>
      <c r="T184" t="str">
        <f t="shared" si="33"/>
        <v>NO</v>
      </c>
      <c r="U184" t="str">
        <f t="shared" si="33"/>
        <v>NO</v>
      </c>
      <c r="V184" t="str">
        <f t="shared" si="33"/>
        <v/>
      </c>
      <c r="W184" t="str">
        <f t="shared" si="29"/>
        <v/>
      </c>
      <c r="X184" s="1196" t="str">
        <f t="shared" si="30"/>
        <v/>
      </c>
      <c r="AJ184" s="1196" t="str">
        <f t="shared" si="31"/>
        <v/>
      </c>
    </row>
    <row r="185" spans="1:36" x14ac:dyDescent="0.35">
      <c r="A185" t="str">
        <f t="shared" ref="A185:F216" si="34">IFERROR(IF($K185=A$2,_xlfn.CONCAT($I185,$J185),"NO"),0)</f>
        <v>NO</v>
      </c>
      <c r="B185" t="str">
        <f t="shared" si="34"/>
        <v>NO</v>
      </c>
      <c r="C185" t="str">
        <f t="shared" si="34"/>
        <v>NO</v>
      </c>
      <c r="D185" t="str">
        <f t="shared" si="34"/>
        <v>NO</v>
      </c>
      <c r="E185" t="str">
        <f t="shared" si="34"/>
        <v>NO</v>
      </c>
      <c r="F185" t="str">
        <f t="shared" si="34"/>
        <v/>
      </c>
      <c r="H185" s="1196" t="str">
        <f t="shared" si="28"/>
        <v/>
      </c>
      <c r="Q185" t="str">
        <f t="shared" si="33"/>
        <v>NO</v>
      </c>
      <c r="R185" t="str">
        <f t="shared" si="33"/>
        <v>NO</v>
      </c>
      <c r="S185" t="str">
        <f t="shared" si="33"/>
        <v>NO</v>
      </c>
      <c r="T185" t="str">
        <f t="shared" si="33"/>
        <v>NO</v>
      </c>
      <c r="U185" t="str">
        <f t="shared" si="33"/>
        <v>NO</v>
      </c>
      <c r="V185" t="str">
        <f t="shared" si="33"/>
        <v/>
      </c>
      <c r="W185" t="str">
        <f t="shared" si="29"/>
        <v/>
      </c>
      <c r="X185" s="1196" t="str">
        <f t="shared" si="30"/>
        <v/>
      </c>
      <c r="AJ185" s="1196" t="str">
        <f t="shared" si="31"/>
        <v/>
      </c>
    </row>
    <row r="186" spans="1:36" x14ac:dyDescent="0.35">
      <c r="A186" t="str">
        <f t="shared" si="34"/>
        <v>NO</v>
      </c>
      <c r="B186" t="str">
        <f t="shared" si="34"/>
        <v>NO</v>
      </c>
      <c r="C186" t="str">
        <f t="shared" si="34"/>
        <v>NO</v>
      </c>
      <c r="D186" t="str">
        <f t="shared" si="34"/>
        <v>NO</v>
      </c>
      <c r="E186" t="str">
        <f t="shared" si="34"/>
        <v>NO</v>
      </c>
      <c r="F186" t="str">
        <f t="shared" si="34"/>
        <v/>
      </c>
      <c r="H186" s="1196" t="str">
        <f t="shared" si="28"/>
        <v/>
      </c>
      <c r="Q186" t="str">
        <f t="shared" si="33"/>
        <v>NO</v>
      </c>
      <c r="R186" t="str">
        <f t="shared" si="33"/>
        <v>NO</v>
      </c>
      <c r="S186" t="str">
        <f t="shared" si="33"/>
        <v>NO</v>
      </c>
      <c r="T186" t="str">
        <f t="shared" si="33"/>
        <v>NO</v>
      </c>
      <c r="U186" t="str">
        <f t="shared" si="33"/>
        <v>NO</v>
      </c>
      <c r="V186" t="str">
        <f t="shared" si="33"/>
        <v/>
      </c>
      <c r="W186" t="str">
        <f t="shared" si="29"/>
        <v/>
      </c>
      <c r="X186" s="1196" t="str">
        <f t="shared" si="30"/>
        <v/>
      </c>
      <c r="AJ186" s="1196" t="str">
        <f t="shared" si="31"/>
        <v/>
      </c>
    </row>
    <row r="187" spans="1:36" x14ac:dyDescent="0.35">
      <c r="A187" t="str">
        <f t="shared" si="34"/>
        <v>NO</v>
      </c>
      <c r="B187" t="str">
        <f t="shared" si="34"/>
        <v>NO</v>
      </c>
      <c r="C187" t="str">
        <f t="shared" si="34"/>
        <v>NO</v>
      </c>
      <c r="D187" t="str">
        <f t="shared" si="34"/>
        <v>NO</v>
      </c>
      <c r="E187" t="str">
        <f t="shared" si="34"/>
        <v>NO</v>
      </c>
      <c r="F187" t="str">
        <f t="shared" si="34"/>
        <v/>
      </c>
      <c r="H187" s="1196" t="str">
        <f t="shared" si="28"/>
        <v/>
      </c>
      <c r="Q187" t="str">
        <f t="shared" ref="Q187:V218" si="35">IFERROR(IF($AA187=Q$2,_xlfn.CONCAT($Y187,$Z187),"NO"),0)</f>
        <v>NO</v>
      </c>
      <c r="R187" t="str">
        <f t="shared" si="35"/>
        <v>NO</v>
      </c>
      <c r="S187" t="str">
        <f t="shared" si="35"/>
        <v>NO</v>
      </c>
      <c r="T187" t="str">
        <f t="shared" si="35"/>
        <v>NO</v>
      </c>
      <c r="U187" t="str">
        <f t="shared" si="35"/>
        <v>NO</v>
      </c>
      <c r="V187" t="str">
        <f t="shared" si="35"/>
        <v/>
      </c>
      <c r="W187" t="str">
        <f t="shared" si="29"/>
        <v/>
      </c>
      <c r="X187" s="1196" t="str">
        <f t="shared" si="30"/>
        <v/>
      </c>
      <c r="AJ187" s="1196" t="str">
        <f t="shared" si="31"/>
        <v/>
      </c>
    </row>
    <row r="188" spans="1:36" x14ac:dyDescent="0.35">
      <c r="A188" t="str">
        <f t="shared" si="34"/>
        <v>NO</v>
      </c>
      <c r="B188" t="str">
        <f t="shared" si="34"/>
        <v>NO</v>
      </c>
      <c r="C188" t="str">
        <f t="shared" si="34"/>
        <v>NO</v>
      </c>
      <c r="D188" t="str">
        <f t="shared" si="34"/>
        <v>NO</v>
      </c>
      <c r="E188" t="str">
        <f t="shared" si="34"/>
        <v>NO</v>
      </c>
      <c r="F188" t="str">
        <f t="shared" si="34"/>
        <v/>
      </c>
      <c r="H188" s="1196" t="str">
        <f t="shared" si="28"/>
        <v/>
      </c>
      <c r="Q188" t="str">
        <f t="shared" si="35"/>
        <v>NO</v>
      </c>
      <c r="R188" t="str">
        <f t="shared" si="35"/>
        <v>NO</v>
      </c>
      <c r="S188" t="str">
        <f t="shared" si="35"/>
        <v>NO</v>
      </c>
      <c r="T188" t="str">
        <f t="shared" si="35"/>
        <v>NO</v>
      </c>
      <c r="U188" t="str">
        <f t="shared" si="35"/>
        <v>NO</v>
      </c>
      <c r="V188" t="str">
        <f t="shared" si="35"/>
        <v/>
      </c>
      <c r="W188" t="str">
        <f t="shared" si="29"/>
        <v/>
      </c>
      <c r="X188" s="1196" t="str">
        <f t="shared" si="30"/>
        <v/>
      </c>
      <c r="AJ188" s="1196" t="str">
        <f t="shared" si="31"/>
        <v/>
      </c>
    </row>
    <row r="189" spans="1:36" x14ac:dyDescent="0.35">
      <c r="A189" t="str">
        <f t="shared" si="34"/>
        <v>NO</v>
      </c>
      <c r="B189" t="str">
        <f t="shared" si="34"/>
        <v>NO</v>
      </c>
      <c r="C189" t="str">
        <f t="shared" si="34"/>
        <v>NO</v>
      </c>
      <c r="D189" t="str">
        <f t="shared" si="34"/>
        <v>NO</v>
      </c>
      <c r="E189" t="str">
        <f t="shared" si="34"/>
        <v>NO</v>
      </c>
      <c r="F189" t="str">
        <f t="shared" si="34"/>
        <v/>
      </c>
      <c r="H189" s="1196" t="str">
        <f t="shared" si="28"/>
        <v/>
      </c>
      <c r="Q189" t="str">
        <f t="shared" si="35"/>
        <v>NO</v>
      </c>
      <c r="R189" t="str">
        <f t="shared" si="35"/>
        <v>NO</v>
      </c>
      <c r="S189" t="str">
        <f t="shared" si="35"/>
        <v>NO</v>
      </c>
      <c r="T189" t="str">
        <f t="shared" si="35"/>
        <v>NO</v>
      </c>
      <c r="U189" t="str">
        <f t="shared" si="35"/>
        <v>NO</v>
      </c>
      <c r="V189" t="str">
        <f t="shared" si="35"/>
        <v/>
      </c>
      <c r="W189" t="str">
        <f t="shared" si="29"/>
        <v/>
      </c>
      <c r="X189" s="1196" t="str">
        <f t="shared" si="30"/>
        <v/>
      </c>
      <c r="AJ189" s="1196" t="str">
        <f t="shared" si="31"/>
        <v/>
      </c>
    </row>
    <row r="190" spans="1:36" x14ac:dyDescent="0.35">
      <c r="A190" t="str">
        <f t="shared" si="34"/>
        <v>NO</v>
      </c>
      <c r="B190" t="str">
        <f t="shared" si="34"/>
        <v>NO</v>
      </c>
      <c r="C190" t="str">
        <f t="shared" si="34"/>
        <v>NO</v>
      </c>
      <c r="D190" t="str">
        <f t="shared" si="34"/>
        <v>NO</v>
      </c>
      <c r="E190" t="str">
        <f t="shared" si="34"/>
        <v>NO</v>
      </c>
      <c r="F190" t="str">
        <f t="shared" si="34"/>
        <v/>
      </c>
      <c r="H190" s="1196" t="str">
        <f t="shared" si="28"/>
        <v/>
      </c>
      <c r="Q190" t="str">
        <f t="shared" si="35"/>
        <v>NO</v>
      </c>
      <c r="R190" t="str">
        <f t="shared" si="35"/>
        <v>NO</v>
      </c>
      <c r="S190" t="str">
        <f t="shared" si="35"/>
        <v>NO</v>
      </c>
      <c r="T190" t="str">
        <f t="shared" si="35"/>
        <v>NO</v>
      </c>
      <c r="U190" t="str">
        <f t="shared" si="35"/>
        <v>NO</v>
      </c>
      <c r="V190" t="str">
        <f t="shared" si="35"/>
        <v/>
      </c>
      <c r="W190" t="str">
        <f t="shared" si="29"/>
        <v/>
      </c>
      <c r="X190" s="1196" t="str">
        <f t="shared" si="30"/>
        <v/>
      </c>
      <c r="AJ190" s="1196" t="str">
        <f t="shared" si="31"/>
        <v/>
      </c>
    </row>
    <row r="191" spans="1:36" x14ac:dyDescent="0.35">
      <c r="A191" t="str">
        <f t="shared" si="34"/>
        <v>NO</v>
      </c>
      <c r="B191" t="str">
        <f t="shared" si="34"/>
        <v>NO</v>
      </c>
      <c r="C191" t="str">
        <f t="shared" si="34"/>
        <v>NO</v>
      </c>
      <c r="D191" t="str">
        <f t="shared" si="34"/>
        <v>NO</v>
      </c>
      <c r="E191" t="str">
        <f t="shared" si="34"/>
        <v>NO</v>
      </c>
      <c r="F191" t="str">
        <f t="shared" si="34"/>
        <v/>
      </c>
      <c r="H191" s="1196" t="str">
        <f t="shared" si="28"/>
        <v/>
      </c>
      <c r="Q191" t="str">
        <f t="shared" si="35"/>
        <v>NO</v>
      </c>
      <c r="R191" t="str">
        <f t="shared" si="35"/>
        <v>NO</v>
      </c>
      <c r="S191" t="str">
        <f t="shared" si="35"/>
        <v>NO</v>
      </c>
      <c r="T191" t="str">
        <f t="shared" si="35"/>
        <v>NO</v>
      </c>
      <c r="U191" t="str">
        <f t="shared" si="35"/>
        <v>NO</v>
      </c>
      <c r="V191" t="str">
        <f t="shared" si="35"/>
        <v/>
      </c>
      <c r="W191" t="str">
        <f t="shared" si="29"/>
        <v/>
      </c>
      <c r="X191" s="1196" t="str">
        <f t="shared" si="30"/>
        <v/>
      </c>
      <c r="AJ191" s="1196" t="str">
        <f t="shared" si="31"/>
        <v/>
      </c>
    </row>
    <row r="192" spans="1:36" x14ac:dyDescent="0.35">
      <c r="A192" t="str">
        <f t="shared" si="34"/>
        <v>NO</v>
      </c>
      <c r="B192" t="str">
        <f t="shared" si="34"/>
        <v>NO</v>
      </c>
      <c r="C192" t="str">
        <f t="shared" si="34"/>
        <v>NO</v>
      </c>
      <c r="D192" t="str">
        <f t="shared" si="34"/>
        <v>NO</v>
      </c>
      <c r="E192" t="str">
        <f t="shared" si="34"/>
        <v>NO</v>
      </c>
      <c r="F192" t="str">
        <f t="shared" si="34"/>
        <v/>
      </c>
      <c r="H192" s="1196" t="str">
        <f t="shared" si="28"/>
        <v/>
      </c>
      <c r="Q192" t="str">
        <f t="shared" si="35"/>
        <v>NO</v>
      </c>
      <c r="R192" t="str">
        <f t="shared" si="35"/>
        <v>NO</v>
      </c>
      <c r="S192" t="str">
        <f t="shared" si="35"/>
        <v>NO</v>
      </c>
      <c r="T192" t="str">
        <f t="shared" si="35"/>
        <v>NO</v>
      </c>
      <c r="U192" t="str">
        <f t="shared" si="35"/>
        <v>NO</v>
      </c>
      <c r="V192" t="str">
        <f t="shared" si="35"/>
        <v/>
      </c>
      <c r="W192" t="str">
        <f t="shared" si="29"/>
        <v/>
      </c>
      <c r="X192" s="1196" t="str">
        <f t="shared" si="30"/>
        <v/>
      </c>
      <c r="AJ192" s="1196" t="str">
        <f t="shared" si="31"/>
        <v/>
      </c>
    </row>
    <row r="193" spans="1:36" x14ac:dyDescent="0.35">
      <c r="A193" t="str">
        <f t="shared" si="34"/>
        <v>NO</v>
      </c>
      <c r="B193" t="str">
        <f t="shared" si="34"/>
        <v>NO</v>
      </c>
      <c r="C193" t="str">
        <f t="shared" si="34"/>
        <v>NO</v>
      </c>
      <c r="D193" t="str">
        <f t="shared" si="34"/>
        <v>NO</v>
      </c>
      <c r="E193" t="str">
        <f t="shared" si="34"/>
        <v>NO</v>
      </c>
      <c r="F193" t="str">
        <f t="shared" si="34"/>
        <v/>
      </c>
      <c r="H193" s="1196" t="str">
        <f t="shared" si="28"/>
        <v/>
      </c>
      <c r="Q193" t="str">
        <f t="shared" si="35"/>
        <v>NO</v>
      </c>
      <c r="R193" t="str">
        <f t="shared" si="35"/>
        <v>NO</v>
      </c>
      <c r="S193" t="str">
        <f t="shared" si="35"/>
        <v>NO</v>
      </c>
      <c r="T193" t="str">
        <f t="shared" si="35"/>
        <v>NO</v>
      </c>
      <c r="U193" t="str">
        <f t="shared" si="35"/>
        <v>NO</v>
      </c>
      <c r="V193" t="str">
        <f t="shared" si="35"/>
        <v/>
      </c>
      <c r="W193" t="str">
        <f t="shared" si="29"/>
        <v/>
      </c>
      <c r="X193" s="1196" t="str">
        <f t="shared" si="30"/>
        <v/>
      </c>
      <c r="AJ193" s="1196" t="str">
        <f t="shared" si="31"/>
        <v/>
      </c>
    </row>
    <row r="194" spans="1:36" x14ac:dyDescent="0.35">
      <c r="A194" t="str">
        <f t="shared" si="34"/>
        <v>NO</v>
      </c>
      <c r="B194" t="str">
        <f t="shared" si="34"/>
        <v>NO</v>
      </c>
      <c r="C194" t="str">
        <f t="shared" si="34"/>
        <v>NO</v>
      </c>
      <c r="D194" t="str">
        <f t="shared" si="34"/>
        <v>NO</v>
      </c>
      <c r="E194" t="str">
        <f t="shared" si="34"/>
        <v>NO</v>
      </c>
      <c r="F194" t="str">
        <f t="shared" si="34"/>
        <v/>
      </c>
      <c r="H194" s="1196" t="str">
        <f t="shared" si="28"/>
        <v/>
      </c>
      <c r="Q194" t="str">
        <f t="shared" si="35"/>
        <v>NO</v>
      </c>
      <c r="R194" t="str">
        <f t="shared" si="35"/>
        <v>NO</v>
      </c>
      <c r="S194" t="str">
        <f t="shared" si="35"/>
        <v>NO</v>
      </c>
      <c r="T194" t="str">
        <f t="shared" si="35"/>
        <v>NO</v>
      </c>
      <c r="U194" t="str">
        <f t="shared" si="35"/>
        <v>NO</v>
      </c>
      <c r="V194" t="str">
        <f t="shared" si="35"/>
        <v/>
      </c>
      <c r="W194" t="str">
        <f t="shared" si="29"/>
        <v/>
      </c>
      <c r="X194" s="1196" t="str">
        <f t="shared" si="30"/>
        <v/>
      </c>
      <c r="AJ194" s="1196" t="str">
        <f t="shared" si="31"/>
        <v/>
      </c>
    </row>
    <row r="195" spans="1:36" x14ac:dyDescent="0.35">
      <c r="A195" t="str">
        <f t="shared" si="34"/>
        <v>NO</v>
      </c>
      <c r="B195" t="str">
        <f t="shared" si="34"/>
        <v>NO</v>
      </c>
      <c r="C195" t="str">
        <f t="shared" si="34"/>
        <v>NO</v>
      </c>
      <c r="D195" t="str">
        <f t="shared" si="34"/>
        <v>NO</v>
      </c>
      <c r="E195" t="str">
        <f t="shared" si="34"/>
        <v>NO</v>
      </c>
      <c r="F195" t="str">
        <f t="shared" si="34"/>
        <v/>
      </c>
      <c r="H195" s="1196" t="str">
        <f t="shared" si="28"/>
        <v/>
      </c>
      <c r="Q195" t="str">
        <f t="shared" si="35"/>
        <v>NO</v>
      </c>
      <c r="R195" t="str">
        <f t="shared" si="35"/>
        <v>NO</v>
      </c>
      <c r="S195" t="str">
        <f t="shared" si="35"/>
        <v>NO</v>
      </c>
      <c r="T195" t="str">
        <f t="shared" si="35"/>
        <v>NO</v>
      </c>
      <c r="U195" t="str">
        <f t="shared" si="35"/>
        <v>NO</v>
      </c>
      <c r="V195" t="str">
        <f t="shared" si="35"/>
        <v/>
      </c>
      <c r="W195" t="str">
        <f t="shared" si="29"/>
        <v/>
      </c>
      <c r="X195" s="1196" t="str">
        <f t="shared" si="30"/>
        <v/>
      </c>
      <c r="AJ195" s="1196" t="str">
        <f t="shared" si="31"/>
        <v/>
      </c>
    </row>
    <row r="196" spans="1:36" x14ac:dyDescent="0.35">
      <c r="A196" t="str">
        <f t="shared" si="34"/>
        <v>NO</v>
      </c>
      <c r="B196" t="str">
        <f t="shared" si="34"/>
        <v>NO</v>
      </c>
      <c r="C196" t="str">
        <f t="shared" si="34"/>
        <v>NO</v>
      </c>
      <c r="D196" t="str">
        <f t="shared" si="34"/>
        <v>NO</v>
      </c>
      <c r="E196" t="str">
        <f t="shared" si="34"/>
        <v>NO</v>
      </c>
      <c r="F196" t="str">
        <f t="shared" si="34"/>
        <v/>
      </c>
      <c r="H196" s="1196" t="str">
        <f t="shared" ref="H196:H240" si="36">_xlfn.CONCAT(I196,J196,)</f>
        <v/>
      </c>
      <c r="Q196" t="str">
        <f t="shared" si="35"/>
        <v>NO</v>
      </c>
      <c r="R196" t="str">
        <f t="shared" si="35"/>
        <v>NO</v>
      </c>
      <c r="S196" t="str">
        <f t="shared" si="35"/>
        <v>NO</v>
      </c>
      <c r="T196" t="str">
        <f t="shared" si="35"/>
        <v>NO</v>
      </c>
      <c r="U196" t="str">
        <f t="shared" si="35"/>
        <v>NO</v>
      </c>
      <c r="V196" t="str">
        <f t="shared" si="35"/>
        <v/>
      </c>
      <c r="W196" t="str">
        <f t="shared" ref="W196:W240" si="37">IF(AV196=W195,_xlfn.CONCAT(AE196,AU196))</f>
        <v/>
      </c>
      <c r="X196" s="1196" t="str">
        <f t="shared" ref="X196:X240" si="38">_xlfn.CONCAT(Y196,Z196,)</f>
        <v/>
      </c>
      <c r="AJ196" s="1196" t="str">
        <f t="shared" ref="AJ196:AJ240" si="39">+IF(AI196="si",_xlfn.CONCAT(AH196,AG196),"")</f>
        <v/>
      </c>
    </row>
    <row r="197" spans="1:36" x14ac:dyDescent="0.35">
      <c r="A197" t="str">
        <f t="shared" si="34"/>
        <v>NO</v>
      </c>
      <c r="B197" t="str">
        <f t="shared" si="34"/>
        <v>NO</v>
      </c>
      <c r="C197" t="str">
        <f t="shared" si="34"/>
        <v>NO</v>
      </c>
      <c r="D197" t="str">
        <f t="shared" si="34"/>
        <v>NO</v>
      </c>
      <c r="E197" t="str">
        <f t="shared" si="34"/>
        <v>NO</v>
      </c>
      <c r="F197" t="str">
        <f t="shared" si="34"/>
        <v/>
      </c>
      <c r="H197" s="1196" t="str">
        <f t="shared" si="36"/>
        <v/>
      </c>
      <c r="Q197" t="str">
        <f t="shared" si="35"/>
        <v>NO</v>
      </c>
      <c r="R197" t="str">
        <f t="shared" si="35"/>
        <v>NO</v>
      </c>
      <c r="S197" t="str">
        <f t="shared" si="35"/>
        <v>NO</v>
      </c>
      <c r="T197" t="str">
        <f t="shared" si="35"/>
        <v>NO</v>
      </c>
      <c r="U197" t="str">
        <f t="shared" si="35"/>
        <v>NO</v>
      </c>
      <c r="V197" t="str">
        <f t="shared" si="35"/>
        <v/>
      </c>
      <c r="W197" t="str">
        <f t="shared" si="37"/>
        <v/>
      </c>
      <c r="X197" s="1196" t="str">
        <f t="shared" si="38"/>
        <v/>
      </c>
      <c r="AJ197" s="1196" t="str">
        <f t="shared" si="39"/>
        <v/>
      </c>
    </row>
    <row r="198" spans="1:36" x14ac:dyDescent="0.35">
      <c r="A198" t="str">
        <f t="shared" si="34"/>
        <v>NO</v>
      </c>
      <c r="B198" t="str">
        <f t="shared" si="34"/>
        <v>NO</v>
      </c>
      <c r="C198" t="str">
        <f t="shared" si="34"/>
        <v>NO</v>
      </c>
      <c r="D198" t="str">
        <f t="shared" si="34"/>
        <v>NO</v>
      </c>
      <c r="E198" t="str">
        <f t="shared" si="34"/>
        <v>NO</v>
      </c>
      <c r="F198" t="str">
        <f t="shared" si="34"/>
        <v/>
      </c>
      <c r="H198" s="1196" t="str">
        <f t="shared" si="36"/>
        <v/>
      </c>
      <c r="Q198" t="str">
        <f t="shared" si="35"/>
        <v>NO</v>
      </c>
      <c r="R198" t="str">
        <f t="shared" si="35"/>
        <v>NO</v>
      </c>
      <c r="S198" t="str">
        <f t="shared" si="35"/>
        <v>NO</v>
      </c>
      <c r="T198" t="str">
        <f t="shared" si="35"/>
        <v>NO</v>
      </c>
      <c r="U198" t="str">
        <f t="shared" si="35"/>
        <v>NO</v>
      </c>
      <c r="V198" t="str">
        <f t="shared" si="35"/>
        <v/>
      </c>
      <c r="W198" t="str">
        <f t="shared" si="37"/>
        <v/>
      </c>
      <c r="X198" s="1196" t="str">
        <f t="shared" si="38"/>
        <v/>
      </c>
      <c r="AJ198" s="1196" t="str">
        <f t="shared" si="39"/>
        <v/>
      </c>
    </row>
    <row r="199" spans="1:36" x14ac:dyDescent="0.35">
      <c r="A199" t="str">
        <f t="shared" si="34"/>
        <v>NO</v>
      </c>
      <c r="B199" t="str">
        <f t="shared" si="34"/>
        <v>NO</v>
      </c>
      <c r="C199" t="str">
        <f t="shared" si="34"/>
        <v>NO</v>
      </c>
      <c r="D199" t="str">
        <f t="shared" si="34"/>
        <v>NO</v>
      </c>
      <c r="E199" t="str">
        <f t="shared" si="34"/>
        <v>NO</v>
      </c>
      <c r="F199" t="str">
        <f t="shared" si="34"/>
        <v/>
      </c>
      <c r="H199" s="1196" t="str">
        <f t="shared" si="36"/>
        <v/>
      </c>
      <c r="Q199" t="str">
        <f t="shared" si="35"/>
        <v>NO</v>
      </c>
      <c r="R199" t="str">
        <f t="shared" si="35"/>
        <v>NO</v>
      </c>
      <c r="S199" t="str">
        <f t="shared" si="35"/>
        <v>NO</v>
      </c>
      <c r="T199" t="str">
        <f t="shared" si="35"/>
        <v>NO</v>
      </c>
      <c r="U199" t="str">
        <f t="shared" si="35"/>
        <v>NO</v>
      </c>
      <c r="V199" t="str">
        <f t="shared" si="35"/>
        <v/>
      </c>
      <c r="W199" t="str">
        <f t="shared" si="37"/>
        <v/>
      </c>
      <c r="X199" s="1196" t="str">
        <f t="shared" si="38"/>
        <v/>
      </c>
      <c r="AJ199" s="1196" t="str">
        <f t="shared" si="39"/>
        <v/>
      </c>
    </row>
    <row r="200" spans="1:36" x14ac:dyDescent="0.35">
      <c r="A200" t="str">
        <f t="shared" si="34"/>
        <v>NO</v>
      </c>
      <c r="B200" t="str">
        <f t="shared" si="34"/>
        <v>NO</v>
      </c>
      <c r="C200" t="str">
        <f t="shared" si="34"/>
        <v>NO</v>
      </c>
      <c r="D200" t="str">
        <f t="shared" si="34"/>
        <v>NO</v>
      </c>
      <c r="E200" t="str">
        <f t="shared" si="34"/>
        <v>NO</v>
      </c>
      <c r="F200" t="str">
        <f t="shared" si="34"/>
        <v/>
      </c>
      <c r="H200" s="1196" t="str">
        <f t="shared" si="36"/>
        <v/>
      </c>
      <c r="Q200" t="str">
        <f t="shared" si="35"/>
        <v>NO</v>
      </c>
      <c r="R200" t="str">
        <f t="shared" si="35"/>
        <v>NO</v>
      </c>
      <c r="S200" t="str">
        <f t="shared" si="35"/>
        <v>NO</v>
      </c>
      <c r="T200" t="str">
        <f t="shared" si="35"/>
        <v>NO</v>
      </c>
      <c r="U200" t="str">
        <f t="shared" si="35"/>
        <v>NO</v>
      </c>
      <c r="V200" t="str">
        <f t="shared" si="35"/>
        <v/>
      </c>
      <c r="W200" t="str">
        <f t="shared" si="37"/>
        <v/>
      </c>
      <c r="X200" s="1196" t="str">
        <f t="shared" si="38"/>
        <v/>
      </c>
      <c r="AJ200" s="1196" t="str">
        <f t="shared" si="39"/>
        <v/>
      </c>
    </row>
    <row r="201" spans="1:36" x14ac:dyDescent="0.35">
      <c r="A201" t="str">
        <f t="shared" si="34"/>
        <v>NO</v>
      </c>
      <c r="B201" t="str">
        <f t="shared" si="34"/>
        <v>NO</v>
      </c>
      <c r="C201" t="str">
        <f t="shared" si="34"/>
        <v>NO</v>
      </c>
      <c r="D201" t="str">
        <f t="shared" si="34"/>
        <v>NO</v>
      </c>
      <c r="E201" t="str">
        <f t="shared" si="34"/>
        <v>NO</v>
      </c>
      <c r="F201" t="str">
        <f t="shared" si="34"/>
        <v/>
      </c>
      <c r="H201" s="1196" t="str">
        <f t="shared" si="36"/>
        <v/>
      </c>
      <c r="Q201" t="str">
        <f t="shared" si="35"/>
        <v>NO</v>
      </c>
      <c r="R201" t="str">
        <f t="shared" si="35"/>
        <v>NO</v>
      </c>
      <c r="S201" t="str">
        <f t="shared" si="35"/>
        <v>NO</v>
      </c>
      <c r="T201" t="str">
        <f t="shared" si="35"/>
        <v>NO</v>
      </c>
      <c r="U201" t="str">
        <f t="shared" si="35"/>
        <v>NO</v>
      </c>
      <c r="V201" t="str">
        <f t="shared" si="35"/>
        <v/>
      </c>
      <c r="W201" t="str">
        <f t="shared" si="37"/>
        <v/>
      </c>
      <c r="X201" s="1196" t="str">
        <f t="shared" si="38"/>
        <v/>
      </c>
      <c r="AJ201" s="1196" t="str">
        <f t="shared" si="39"/>
        <v/>
      </c>
    </row>
    <row r="202" spans="1:36" x14ac:dyDescent="0.35">
      <c r="A202" t="str">
        <f t="shared" si="34"/>
        <v>NO</v>
      </c>
      <c r="B202" t="str">
        <f t="shared" si="34"/>
        <v>NO</v>
      </c>
      <c r="C202" t="str">
        <f t="shared" si="34"/>
        <v>NO</v>
      </c>
      <c r="D202" t="str">
        <f t="shared" si="34"/>
        <v>NO</v>
      </c>
      <c r="E202" t="str">
        <f t="shared" si="34"/>
        <v>NO</v>
      </c>
      <c r="F202" t="str">
        <f t="shared" si="34"/>
        <v/>
      </c>
      <c r="H202" s="1196" t="str">
        <f t="shared" si="36"/>
        <v/>
      </c>
      <c r="Q202" t="str">
        <f t="shared" si="35"/>
        <v>NO</v>
      </c>
      <c r="R202" t="str">
        <f t="shared" si="35"/>
        <v>NO</v>
      </c>
      <c r="S202" t="str">
        <f t="shared" si="35"/>
        <v>NO</v>
      </c>
      <c r="T202" t="str">
        <f t="shared" si="35"/>
        <v>NO</v>
      </c>
      <c r="U202" t="str">
        <f t="shared" si="35"/>
        <v>NO</v>
      </c>
      <c r="V202" t="str">
        <f t="shared" si="35"/>
        <v/>
      </c>
      <c r="W202" t="str">
        <f t="shared" si="37"/>
        <v/>
      </c>
      <c r="X202" s="1196" t="str">
        <f t="shared" si="38"/>
        <v/>
      </c>
      <c r="AJ202" s="1196" t="str">
        <f t="shared" si="39"/>
        <v/>
      </c>
    </row>
    <row r="203" spans="1:36" x14ac:dyDescent="0.35">
      <c r="A203" t="str">
        <f t="shared" si="34"/>
        <v>NO</v>
      </c>
      <c r="B203" t="str">
        <f t="shared" si="34"/>
        <v>NO</v>
      </c>
      <c r="C203" t="str">
        <f t="shared" si="34"/>
        <v>NO</v>
      </c>
      <c r="D203" t="str">
        <f t="shared" si="34"/>
        <v>NO</v>
      </c>
      <c r="E203" t="str">
        <f t="shared" si="34"/>
        <v>NO</v>
      </c>
      <c r="F203" t="str">
        <f t="shared" si="34"/>
        <v/>
      </c>
      <c r="H203" s="1196" t="str">
        <f t="shared" si="36"/>
        <v/>
      </c>
      <c r="Q203" t="str">
        <f t="shared" si="35"/>
        <v>NO</v>
      </c>
      <c r="R203" t="str">
        <f t="shared" si="35"/>
        <v>NO</v>
      </c>
      <c r="S203" t="str">
        <f t="shared" si="35"/>
        <v>NO</v>
      </c>
      <c r="T203" t="str">
        <f t="shared" si="35"/>
        <v>NO</v>
      </c>
      <c r="U203" t="str">
        <f t="shared" si="35"/>
        <v>NO</v>
      </c>
      <c r="V203" t="str">
        <f t="shared" si="35"/>
        <v/>
      </c>
      <c r="W203" t="str">
        <f t="shared" si="37"/>
        <v/>
      </c>
      <c r="X203" s="1196" t="str">
        <f t="shared" si="38"/>
        <v/>
      </c>
      <c r="AJ203" s="1196" t="str">
        <f t="shared" si="39"/>
        <v/>
      </c>
    </row>
    <row r="204" spans="1:36" x14ac:dyDescent="0.35">
      <c r="A204" t="str">
        <f t="shared" si="34"/>
        <v>NO</v>
      </c>
      <c r="B204" t="str">
        <f t="shared" si="34"/>
        <v>NO</v>
      </c>
      <c r="C204" t="str">
        <f t="shared" si="34"/>
        <v>NO</v>
      </c>
      <c r="D204" t="str">
        <f t="shared" si="34"/>
        <v>NO</v>
      </c>
      <c r="E204" t="str">
        <f t="shared" si="34"/>
        <v>NO</v>
      </c>
      <c r="F204" t="str">
        <f t="shared" si="34"/>
        <v/>
      </c>
      <c r="H204" s="1196" t="str">
        <f t="shared" si="36"/>
        <v/>
      </c>
      <c r="Q204" t="str">
        <f t="shared" si="35"/>
        <v>NO</v>
      </c>
      <c r="R204" t="str">
        <f t="shared" si="35"/>
        <v>NO</v>
      </c>
      <c r="S204" t="str">
        <f t="shared" si="35"/>
        <v>NO</v>
      </c>
      <c r="T204" t="str">
        <f t="shared" si="35"/>
        <v>NO</v>
      </c>
      <c r="U204" t="str">
        <f t="shared" si="35"/>
        <v>NO</v>
      </c>
      <c r="V204" t="str">
        <f t="shared" si="35"/>
        <v/>
      </c>
      <c r="W204" t="str">
        <f t="shared" si="37"/>
        <v/>
      </c>
      <c r="X204" s="1196" t="str">
        <f t="shared" si="38"/>
        <v/>
      </c>
      <c r="AJ204" s="1196" t="str">
        <f t="shared" si="39"/>
        <v/>
      </c>
    </row>
    <row r="205" spans="1:36" x14ac:dyDescent="0.35">
      <c r="A205" t="str">
        <f t="shared" si="34"/>
        <v>NO</v>
      </c>
      <c r="B205" t="str">
        <f t="shared" si="34"/>
        <v>NO</v>
      </c>
      <c r="C205" t="str">
        <f t="shared" si="34"/>
        <v>NO</v>
      </c>
      <c r="D205" t="str">
        <f t="shared" si="34"/>
        <v>NO</v>
      </c>
      <c r="E205" t="str">
        <f t="shared" si="34"/>
        <v>NO</v>
      </c>
      <c r="F205" t="str">
        <f t="shared" si="34"/>
        <v/>
      </c>
      <c r="H205" s="1196" t="str">
        <f t="shared" si="36"/>
        <v/>
      </c>
      <c r="Q205" t="str">
        <f t="shared" si="35"/>
        <v>NO</v>
      </c>
      <c r="R205" t="str">
        <f t="shared" si="35"/>
        <v>NO</v>
      </c>
      <c r="S205" t="str">
        <f t="shared" si="35"/>
        <v>NO</v>
      </c>
      <c r="T205" t="str">
        <f t="shared" si="35"/>
        <v>NO</v>
      </c>
      <c r="U205" t="str">
        <f t="shared" si="35"/>
        <v>NO</v>
      </c>
      <c r="V205" t="str">
        <f t="shared" si="35"/>
        <v/>
      </c>
      <c r="W205" t="str">
        <f t="shared" si="37"/>
        <v/>
      </c>
      <c r="X205" s="1196" t="str">
        <f t="shared" si="38"/>
        <v/>
      </c>
      <c r="AJ205" s="1196" t="str">
        <f t="shared" si="39"/>
        <v/>
      </c>
    </row>
    <row r="206" spans="1:36" x14ac:dyDescent="0.35">
      <c r="A206" t="str">
        <f t="shared" si="34"/>
        <v>NO</v>
      </c>
      <c r="B206" t="str">
        <f t="shared" si="34"/>
        <v>NO</v>
      </c>
      <c r="C206" t="str">
        <f t="shared" si="34"/>
        <v>NO</v>
      </c>
      <c r="D206" t="str">
        <f t="shared" si="34"/>
        <v>NO</v>
      </c>
      <c r="E206" t="str">
        <f t="shared" si="34"/>
        <v>NO</v>
      </c>
      <c r="F206" t="str">
        <f t="shared" si="34"/>
        <v/>
      </c>
      <c r="H206" s="1196" t="str">
        <f t="shared" si="36"/>
        <v/>
      </c>
      <c r="Q206" t="str">
        <f t="shared" si="35"/>
        <v>NO</v>
      </c>
      <c r="R206" t="str">
        <f t="shared" si="35"/>
        <v>NO</v>
      </c>
      <c r="S206" t="str">
        <f t="shared" si="35"/>
        <v>NO</v>
      </c>
      <c r="T206" t="str">
        <f t="shared" si="35"/>
        <v>NO</v>
      </c>
      <c r="U206" t="str">
        <f t="shared" si="35"/>
        <v>NO</v>
      </c>
      <c r="V206" t="str">
        <f t="shared" si="35"/>
        <v/>
      </c>
      <c r="W206" t="str">
        <f t="shared" si="37"/>
        <v/>
      </c>
      <c r="X206" s="1196" t="str">
        <f t="shared" si="38"/>
        <v/>
      </c>
      <c r="AJ206" s="1196" t="str">
        <f t="shared" si="39"/>
        <v/>
      </c>
    </row>
    <row r="207" spans="1:36" x14ac:dyDescent="0.35">
      <c r="A207" t="str">
        <f t="shared" si="34"/>
        <v>NO</v>
      </c>
      <c r="B207" t="str">
        <f t="shared" si="34"/>
        <v>NO</v>
      </c>
      <c r="C207" t="str">
        <f t="shared" si="34"/>
        <v>NO</v>
      </c>
      <c r="D207" t="str">
        <f t="shared" si="34"/>
        <v>NO</v>
      </c>
      <c r="E207" t="str">
        <f t="shared" si="34"/>
        <v>NO</v>
      </c>
      <c r="F207" t="str">
        <f t="shared" si="34"/>
        <v/>
      </c>
      <c r="H207" s="1196" t="str">
        <f t="shared" si="36"/>
        <v/>
      </c>
      <c r="Q207" t="str">
        <f t="shared" si="35"/>
        <v>NO</v>
      </c>
      <c r="R207" t="str">
        <f t="shared" si="35"/>
        <v>NO</v>
      </c>
      <c r="S207" t="str">
        <f t="shared" si="35"/>
        <v>NO</v>
      </c>
      <c r="T207" t="str">
        <f t="shared" si="35"/>
        <v>NO</v>
      </c>
      <c r="U207" t="str">
        <f t="shared" si="35"/>
        <v>NO</v>
      </c>
      <c r="V207" t="str">
        <f t="shared" si="35"/>
        <v/>
      </c>
      <c r="W207" t="str">
        <f t="shared" si="37"/>
        <v/>
      </c>
      <c r="X207" s="1196" t="str">
        <f t="shared" si="38"/>
        <v/>
      </c>
      <c r="AJ207" s="1196" t="str">
        <f t="shared" si="39"/>
        <v/>
      </c>
    </row>
    <row r="208" spans="1:36" x14ac:dyDescent="0.35">
      <c r="A208" t="str">
        <f t="shared" si="34"/>
        <v>NO</v>
      </c>
      <c r="B208" t="str">
        <f t="shared" si="34"/>
        <v>NO</v>
      </c>
      <c r="C208" t="str">
        <f t="shared" si="34"/>
        <v>NO</v>
      </c>
      <c r="D208" t="str">
        <f t="shared" si="34"/>
        <v>NO</v>
      </c>
      <c r="E208" t="str">
        <f t="shared" si="34"/>
        <v>NO</v>
      </c>
      <c r="F208" t="str">
        <f t="shared" si="34"/>
        <v/>
      </c>
      <c r="H208" s="1196" t="str">
        <f t="shared" si="36"/>
        <v/>
      </c>
      <c r="Q208" t="str">
        <f t="shared" si="35"/>
        <v>NO</v>
      </c>
      <c r="R208" t="str">
        <f t="shared" si="35"/>
        <v>NO</v>
      </c>
      <c r="S208" t="str">
        <f t="shared" si="35"/>
        <v>NO</v>
      </c>
      <c r="T208" t="str">
        <f t="shared" si="35"/>
        <v>NO</v>
      </c>
      <c r="U208" t="str">
        <f t="shared" si="35"/>
        <v>NO</v>
      </c>
      <c r="V208" t="str">
        <f t="shared" si="35"/>
        <v/>
      </c>
      <c r="W208" t="str">
        <f t="shared" si="37"/>
        <v/>
      </c>
      <c r="X208" s="1196" t="str">
        <f t="shared" si="38"/>
        <v/>
      </c>
      <c r="AJ208" s="1196" t="str">
        <f t="shared" si="39"/>
        <v/>
      </c>
    </row>
    <row r="209" spans="1:36" x14ac:dyDescent="0.35">
      <c r="A209" t="str">
        <f t="shared" si="34"/>
        <v>NO</v>
      </c>
      <c r="B209" t="str">
        <f t="shared" si="34"/>
        <v>NO</v>
      </c>
      <c r="C209" t="str">
        <f t="shared" si="34"/>
        <v>NO</v>
      </c>
      <c r="D209" t="str">
        <f t="shared" si="34"/>
        <v>NO</v>
      </c>
      <c r="E209" t="str">
        <f t="shared" si="34"/>
        <v>NO</v>
      </c>
      <c r="F209" t="str">
        <f t="shared" si="34"/>
        <v/>
      </c>
      <c r="H209" s="1196" t="str">
        <f t="shared" si="36"/>
        <v/>
      </c>
      <c r="Q209" t="str">
        <f t="shared" si="35"/>
        <v>NO</v>
      </c>
      <c r="R209" t="str">
        <f t="shared" si="35"/>
        <v>NO</v>
      </c>
      <c r="S209" t="str">
        <f t="shared" si="35"/>
        <v>NO</v>
      </c>
      <c r="T209" t="str">
        <f t="shared" si="35"/>
        <v>NO</v>
      </c>
      <c r="U209" t="str">
        <f t="shared" si="35"/>
        <v>NO</v>
      </c>
      <c r="V209" t="str">
        <f t="shared" si="35"/>
        <v/>
      </c>
      <c r="W209" t="str">
        <f t="shared" si="37"/>
        <v/>
      </c>
      <c r="X209" s="1196" t="str">
        <f t="shared" si="38"/>
        <v/>
      </c>
      <c r="AJ209" s="1196" t="str">
        <f t="shared" si="39"/>
        <v/>
      </c>
    </row>
    <row r="210" spans="1:36" x14ac:dyDescent="0.35">
      <c r="A210" t="str">
        <f t="shared" si="34"/>
        <v>NO</v>
      </c>
      <c r="B210" t="str">
        <f t="shared" si="34"/>
        <v>NO</v>
      </c>
      <c r="C210" t="str">
        <f t="shared" si="34"/>
        <v>NO</v>
      </c>
      <c r="D210" t="str">
        <f t="shared" si="34"/>
        <v>NO</v>
      </c>
      <c r="E210" t="str">
        <f t="shared" si="34"/>
        <v>NO</v>
      </c>
      <c r="F210" t="str">
        <f t="shared" si="34"/>
        <v/>
      </c>
      <c r="H210" s="1196" t="str">
        <f t="shared" si="36"/>
        <v/>
      </c>
      <c r="Q210" t="str">
        <f t="shared" si="35"/>
        <v>NO</v>
      </c>
      <c r="R210" t="str">
        <f t="shared" si="35"/>
        <v>NO</v>
      </c>
      <c r="S210" t="str">
        <f t="shared" si="35"/>
        <v>NO</v>
      </c>
      <c r="T210" t="str">
        <f t="shared" si="35"/>
        <v>NO</v>
      </c>
      <c r="U210" t="str">
        <f t="shared" si="35"/>
        <v>NO</v>
      </c>
      <c r="V210" t="str">
        <f t="shared" si="35"/>
        <v/>
      </c>
      <c r="W210" t="str">
        <f t="shared" si="37"/>
        <v/>
      </c>
      <c r="X210" s="1196" t="str">
        <f t="shared" si="38"/>
        <v/>
      </c>
      <c r="AJ210" s="1196" t="str">
        <f t="shared" si="39"/>
        <v/>
      </c>
    </row>
    <row r="211" spans="1:36" x14ac:dyDescent="0.35">
      <c r="A211" t="str">
        <f t="shared" si="34"/>
        <v>NO</v>
      </c>
      <c r="B211" t="str">
        <f t="shared" si="34"/>
        <v>NO</v>
      </c>
      <c r="C211" t="str">
        <f t="shared" si="34"/>
        <v>NO</v>
      </c>
      <c r="D211" t="str">
        <f t="shared" si="34"/>
        <v>NO</v>
      </c>
      <c r="E211" t="str">
        <f t="shared" si="34"/>
        <v>NO</v>
      </c>
      <c r="F211" t="str">
        <f t="shared" si="34"/>
        <v/>
      </c>
      <c r="H211" s="1196" t="str">
        <f t="shared" si="36"/>
        <v/>
      </c>
      <c r="Q211" t="str">
        <f t="shared" si="35"/>
        <v>NO</v>
      </c>
      <c r="R211" t="str">
        <f t="shared" si="35"/>
        <v>NO</v>
      </c>
      <c r="S211" t="str">
        <f t="shared" si="35"/>
        <v>NO</v>
      </c>
      <c r="T211" t="str">
        <f t="shared" si="35"/>
        <v>NO</v>
      </c>
      <c r="U211" t="str">
        <f t="shared" si="35"/>
        <v>NO</v>
      </c>
      <c r="V211" t="str">
        <f t="shared" si="35"/>
        <v/>
      </c>
      <c r="W211" t="str">
        <f t="shared" si="37"/>
        <v/>
      </c>
      <c r="X211" s="1196" t="str">
        <f t="shared" si="38"/>
        <v/>
      </c>
      <c r="AJ211" s="1196" t="str">
        <f t="shared" si="39"/>
        <v/>
      </c>
    </row>
    <row r="212" spans="1:36" x14ac:dyDescent="0.35">
      <c r="A212" t="str">
        <f t="shared" si="34"/>
        <v>NO</v>
      </c>
      <c r="B212" t="str">
        <f t="shared" si="34"/>
        <v>NO</v>
      </c>
      <c r="C212" t="str">
        <f t="shared" si="34"/>
        <v>NO</v>
      </c>
      <c r="D212" t="str">
        <f t="shared" si="34"/>
        <v>NO</v>
      </c>
      <c r="E212" t="str">
        <f t="shared" si="34"/>
        <v>NO</v>
      </c>
      <c r="F212" t="str">
        <f t="shared" si="34"/>
        <v/>
      </c>
      <c r="H212" s="1196" t="str">
        <f t="shared" si="36"/>
        <v/>
      </c>
      <c r="Q212" t="str">
        <f t="shared" si="35"/>
        <v>NO</v>
      </c>
      <c r="R212" t="str">
        <f t="shared" si="35"/>
        <v>NO</v>
      </c>
      <c r="S212" t="str">
        <f t="shared" si="35"/>
        <v>NO</v>
      </c>
      <c r="T212" t="str">
        <f t="shared" si="35"/>
        <v>NO</v>
      </c>
      <c r="U212" t="str">
        <f t="shared" si="35"/>
        <v>NO</v>
      </c>
      <c r="V212" t="str">
        <f t="shared" si="35"/>
        <v/>
      </c>
      <c r="W212" t="str">
        <f t="shared" si="37"/>
        <v/>
      </c>
      <c r="X212" s="1196" t="str">
        <f t="shared" si="38"/>
        <v/>
      </c>
      <c r="AJ212" s="1196" t="str">
        <f t="shared" si="39"/>
        <v/>
      </c>
    </row>
    <row r="213" spans="1:36" x14ac:dyDescent="0.35">
      <c r="A213" t="str">
        <f t="shared" si="34"/>
        <v>NO</v>
      </c>
      <c r="B213" t="str">
        <f t="shared" si="34"/>
        <v>NO</v>
      </c>
      <c r="C213" t="str">
        <f t="shared" si="34"/>
        <v>NO</v>
      </c>
      <c r="D213" t="str">
        <f t="shared" si="34"/>
        <v>NO</v>
      </c>
      <c r="E213" t="str">
        <f t="shared" si="34"/>
        <v>NO</v>
      </c>
      <c r="F213" t="str">
        <f t="shared" si="34"/>
        <v/>
      </c>
      <c r="H213" s="1196" t="str">
        <f t="shared" si="36"/>
        <v/>
      </c>
      <c r="Q213" t="str">
        <f t="shared" si="35"/>
        <v>NO</v>
      </c>
      <c r="R213" t="str">
        <f t="shared" si="35"/>
        <v>NO</v>
      </c>
      <c r="S213" t="str">
        <f t="shared" si="35"/>
        <v>NO</v>
      </c>
      <c r="T213" t="str">
        <f t="shared" si="35"/>
        <v>NO</v>
      </c>
      <c r="U213" t="str">
        <f t="shared" si="35"/>
        <v>NO</v>
      </c>
      <c r="V213" t="str">
        <f t="shared" si="35"/>
        <v/>
      </c>
      <c r="W213" t="str">
        <f t="shared" si="37"/>
        <v/>
      </c>
      <c r="X213" s="1196" t="str">
        <f t="shared" si="38"/>
        <v/>
      </c>
      <c r="AJ213" s="1196" t="str">
        <f t="shared" si="39"/>
        <v/>
      </c>
    </row>
    <row r="214" spans="1:36" x14ac:dyDescent="0.35">
      <c r="A214" t="str">
        <f t="shared" si="34"/>
        <v>NO</v>
      </c>
      <c r="B214" t="str">
        <f t="shared" si="34"/>
        <v>NO</v>
      </c>
      <c r="C214" t="str">
        <f t="shared" si="34"/>
        <v>NO</v>
      </c>
      <c r="D214" t="str">
        <f t="shared" si="34"/>
        <v>NO</v>
      </c>
      <c r="E214" t="str">
        <f t="shared" si="34"/>
        <v>NO</v>
      </c>
      <c r="F214" t="str">
        <f t="shared" si="34"/>
        <v/>
      </c>
      <c r="H214" s="1196" t="str">
        <f t="shared" si="36"/>
        <v/>
      </c>
      <c r="Q214" t="str">
        <f t="shared" si="35"/>
        <v>NO</v>
      </c>
      <c r="R214" t="str">
        <f t="shared" si="35"/>
        <v>NO</v>
      </c>
      <c r="S214" t="str">
        <f t="shared" si="35"/>
        <v>NO</v>
      </c>
      <c r="T214" t="str">
        <f t="shared" si="35"/>
        <v>NO</v>
      </c>
      <c r="U214" t="str">
        <f t="shared" si="35"/>
        <v>NO</v>
      </c>
      <c r="V214" t="str">
        <f t="shared" si="35"/>
        <v/>
      </c>
      <c r="W214" t="str">
        <f t="shared" si="37"/>
        <v/>
      </c>
      <c r="X214" s="1196" t="str">
        <f t="shared" si="38"/>
        <v/>
      </c>
      <c r="AJ214" s="1196" t="str">
        <f t="shared" si="39"/>
        <v/>
      </c>
    </row>
    <row r="215" spans="1:36" x14ac:dyDescent="0.35">
      <c r="A215" t="str">
        <f t="shared" si="34"/>
        <v>NO</v>
      </c>
      <c r="B215" t="str">
        <f t="shared" si="34"/>
        <v>NO</v>
      </c>
      <c r="C215" t="str">
        <f t="shared" si="34"/>
        <v>NO</v>
      </c>
      <c r="D215" t="str">
        <f t="shared" si="34"/>
        <v>NO</v>
      </c>
      <c r="E215" t="str">
        <f t="shared" si="34"/>
        <v>NO</v>
      </c>
      <c r="F215" t="str">
        <f t="shared" si="34"/>
        <v/>
      </c>
      <c r="H215" s="1196" t="str">
        <f t="shared" si="36"/>
        <v/>
      </c>
      <c r="Q215" t="str">
        <f t="shared" si="35"/>
        <v>NO</v>
      </c>
      <c r="R215" t="str">
        <f t="shared" si="35"/>
        <v>NO</v>
      </c>
      <c r="S215" t="str">
        <f t="shared" si="35"/>
        <v>NO</v>
      </c>
      <c r="T215" t="str">
        <f t="shared" si="35"/>
        <v>NO</v>
      </c>
      <c r="U215" t="str">
        <f t="shared" si="35"/>
        <v>NO</v>
      </c>
      <c r="V215" t="str">
        <f t="shared" si="35"/>
        <v/>
      </c>
      <c r="W215" t="str">
        <f t="shared" si="37"/>
        <v/>
      </c>
      <c r="X215" s="1196" t="str">
        <f t="shared" si="38"/>
        <v/>
      </c>
      <c r="AJ215" s="1196" t="str">
        <f t="shared" si="39"/>
        <v/>
      </c>
    </row>
    <row r="216" spans="1:36" x14ac:dyDescent="0.35">
      <c r="A216" t="str">
        <f t="shared" si="34"/>
        <v>NO</v>
      </c>
      <c r="B216" t="str">
        <f t="shared" si="34"/>
        <v>NO</v>
      </c>
      <c r="C216" t="str">
        <f t="shared" si="34"/>
        <v>NO</v>
      </c>
      <c r="D216" t="str">
        <f t="shared" si="34"/>
        <v>NO</v>
      </c>
      <c r="E216" t="str">
        <f t="shared" si="34"/>
        <v>NO</v>
      </c>
      <c r="F216" t="str">
        <f t="shared" si="34"/>
        <v/>
      </c>
      <c r="H216" s="1196" t="str">
        <f t="shared" si="36"/>
        <v/>
      </c>
      <c r="Q216" t="str">
        <f t="shared" si="35"/>
        <v>NO</v>
      </c>
      <c r="R216" t="str">
        <f t="shared" si="35"/>
        <v>NO</v>
      </c>
      <c r="S216" t="str">
        <f t="shared" si="35"/>
        <v>NO</v>
      </c>
      <c r="T216" t="str">
        <f t="shared" si="35"/>
        <v>NO</v>
      </c>
      <c r="U216" t="str">
        <f t="shared" si="35"/>
        <v>NO</v>
      </c>
      <c r="V216" t="str">
        <f t="shared" si="35"/>
        <v/>
      </c>
      <c r="W216" t="str">
        <f t="shared" si="37"/>
        <v/>
      </c>
      <c r="X216" s="1196" t="str">
        <f t="shared" si="38"/>
        <v/>
      </c>
      <c r="AJ216" s="1196" t="str">
        <f t="shared" si="39"/>
        <v/>
      </c>
    </row>
    <row r="217" spans="1:36" x14ac:dyDescent="0.35">
      <c r="A217" t="str">
        <f t="shared" ref="A217:F240" si="40">IFERROR(IF($K217=A$2,_xlfn.CONCAT($I217,$J217),"NO"),0)</f>
        <v>NO</v>
      </c>
      <c r="B217" t="str">
        <f t="shared" si="40"/>
        <v>NO</v>
      </c>
      <c r="C217" t="str">
        <f t="shared" si="40"/>
        <v>NO</v>
      </c>
      <c r="D217" t="str">
        <f t="shared" si="40"/>
        <v>NO</v>
      </c>
      <c r="E217" t="str">
        <f t="shared" si="40"/>
        <v>NO</v>
      </c>
      <c r="F217" t="str">
        <f t="shared" si="40"/>
        <v/>
      </c>
      <c r="H217" s="1196" t="str">
        <f t="shared" si="36"/>
        <v/>
      </c>
      <c r="Q217" t="str">
        <f t="shared" si="35"/>
        <v>NO</v>
      </c>
      <c r="R217" t="str">
        <f t="shared" si="35"/>
        <v>NO</v>
      </c>
      <c r="S217" t="str">
        <f t="shared" si="35"/>
        <v>NO</v>
      </c>
      <c r="T217" t="str">
        <f t="shared" si="35"/>
        <v>NO</v>
      </c>
      <c r="U217" t="str">
        <f t="shared" si="35"/>
        <v>NO</v>
      </c>
      <c r="V217" t="str">
        <f t="shared" si="35"/>
        <v/>
      </c>
      <c r="W217" t="str">
        <f t="shared" si="37"/>
        <v/>
      </c>
      <c r="X217" s="1196" t="str">
        <f t="shared" si="38"/>
        <v/>
      </c>
      <c r="AJ217" s="1196" t="str">
        <f t="shared" si="39"/>
        <v/>
      </c>
    </row>
    <row r="218" spans="1:36" x14ac:dyDescent="0.35">
      <c r="A218" t="str">
        <f t="shared" si="40"/>
        <v>NO</v>
      </c>
      <c r="B218" t="str">
        <f t="shared" si="40"/>
        <v>NO</v>
      </c>
      <c r="C218" t="str">
        <f t="shared" si="40"/>
        <v>NO</v>
      </c>
      <c r="D218" t="str">
        <f t="shared" si="40"/>
        <v>NO</v>
      </c>
      <c r="E218" t="str">
        <f t="shared" si="40"/>
        <v>NO</v>
      </c>
      <c r="F218" t="str">
        <f t="shared" si="40"/>
        <v/>
      </c>
      <c r="H218" s="1196" t="str">
        <f t="shared" si="36"/>
        <v/>
      </c>
      <c r="Q218" t="str">
        <f t="shared" si="35"/>
        <v>NO</v>
      </c>
      <c r="R218" t="str">
        <f t="shared" si="35"/>
        <v>NO</v>
      </c>
      <c r="S218" t="str">
        <f t="shared" si="35"/>
        <v>NO</v>
      </c>
      <c r="T218" t="str">
        <f t="shared" si="35"/>
        <v>NO</v>
      </c>
      <c r="U218" t="str">
        <f t="shared" si="35"/>
        <v>NO</v>
      </c>
      <c r="V218" t="str">
        <f t="shared" si="35"/>
        <v/>
      </c>
      <c r="W218" t="str">
        <f t="shared" si="37"/>
        <v/>
      </c>
      <c r="X218" s="1196" t="str">
        <f t="shared" si="38"/>
        <v/>
      </c>
      <c r="AJ218" s="1196" t="str">
        <f t="shared" si="39"/>
        <v/>
      </c>
    </row>
    <row r="219" spans="1:36" x14ac:dyDescent="0.35">
      <c r="A219" t="str">
        <f t="shared" si="40"/>
        <v>NO</v>
      </c>
      <c r="B219" t="str">
        <f t="shared" si="40"/>
        <v>NO</v>
      </c>
      <c r="C219" t="str">
        <f t="shared" si="40"/>
        <v>NO</v>
      </c>
      <c r="D219" t="str">
        <f t="shared" si="40"/>
        <v>NO</v>
      </c>
      <c r="E219" t="str">
        <f t="shared" si="40"/>
        <v>NO</v>
      </c>
      <c r="F219" t="str">
        <f t="shared" si="40"/>
        <v/>
      </c>
      <c r="H219" s="1196" t="str">
        <f t="shared" si="36"/>
        <v/>
      </c>
      <c r="Q219" t="str">
        <f t="shared" ref="Q219:V240" si="41">IFERROR(IF($AA219=Q$2,_xlfn.CONCAT($Y219,$Z219),"NO"),0)</f>
        <v>NO</v>
      </c>
      <c r="R219" t="str">
        <f t="shared" si="41"/>
        <v>NO</v>
      </c>
      <c r="S219" t="str">
        <f t="shared" si="41"/>
        <v>NO</v>
      </c>
      <c r="T219" t="str">
        <f t="shared" si="41"/>
        <v>NO</v>
      </c>
      <c r="U219" t="str">
        <f t="shared" si="41"/>
        <v>NO</v>
      </c>
      <c r="V219" t="str">
        <f t="shared" si="41"/>
        <v/>
      </c>
      <c r="W219" t="str">
        <f t="shared" si="37"/>
        <v/>
      </c>
      <c r="X219" s="1196" t="str">
        <f t="shared" si="38"/>
        <v/>
      </c>
      <c r="AJ219" s="1196" t="str">
        <f t="shared" si="39"/>
        <v/>
      </c>
    </row>
    <row r="220" spans="1:36" x14ac:dyDescent="0.35">
      <c r="A220" t="str">
        <f t="shared" si="40"/>
        <v>NO</v>
      </c>
      <c r="B220" t="str">
        <f t="shared" si="40"/>
        <v>NO</v>
      </c>
      <c r="C220" t="str">
        <f t="shared" si="40"/>
        <v>NO</v>
      </c>
      <c r="D220" t="str">
        <f t="shared" si="40"/>
        <v>NO</v>
      </c>
      <c r="E220" t="str">
        <f t="shared" si="40"/>
        <v>NO</v>
      </c>
      <c r="F220" t="str">
        <f t="shared" si="40"/>
        <v/>
      </c>
      <c r="H220" s="1196" t="str">
        <f t="shared" si="36"/>
        <v/>
      </c>
      <c r="Q220" t="str">
        <f t="shared" si="41"/>
        <v>NO</v>
      </c>
      <c r="R220" t="str">
        <f t="shared" si="41"/>
        <v>NO</v>
      </c>
      <c r="S220" t="str">
        <f t="shared" si="41"/>
        <v>NO</v>
      </c>
      <c r="T220" t="str">
        <f t="shared" si="41"/>
        <v>NO</v>
      </c>
      <c r="U220" t="str">
        <f t="shared" si="41"/>
        <v>NO</v>
      </c>
      <c r="V220" t="str">
        <f t="shared" si="41"/>
        <v/>
      </c>
      <c r="W220" t="str">
        <f t="shared" si="37"/>
        <v/>
      </c>
      <c r="X220" s="1196" t="str">
        <f t="shared" si="38"/>
        <v/>
      </c>
      <c r="AJ220" s="1196" t="str">
        <f t="shared" si="39"/>
        <v/>
      </c>
    </row>
    <row r="221" spans="1:36" x14ac:dyDescent="0.35">
      <c r="A221" t="str">
        <f t="shared" si="40"/>
        <v>NO</v>
      </c>
      <c r="B221" t="str">
        <f t="shared" si="40"/>
        <v>NO</v>
      </c>
      <c r="C221" t="str">
        <f t="shared" si="40"/>
        <v>NO</v>
      </c>
      <c r="D221" t="str">
        <f t="shared" si="40"/>
        <v>NO</v>
      </c>
      <c r="E221" t="str">
        <f t="shared" si="40"/>
        <v>NO</v>
      </c>
      <c r="F221" t="str">
        <f t="shared" si="40"/>
        <v/>
      </c>
      <c r="H221" s="1196" t="str">
        <f t="shared" si="36"/>
        <v/>
      </c>
      <c r="Q221" t="str">
        <f t="shared" si="41"/>
        <v>NO</v>
      </c>
      <c r="R221" t="str">
        <f t="shared" si="41"/>
        <v>NO</v>
      </c>
      <c r="S221" t="str">
        <f t="shared" si="41"/>
        <v>NO</v>
      </c>
      <c r="T221" t="str">
        <f t="shared" si="41"/>
        <v>NO</v>
      </c>
      <c r="U221" t="str">
        <f t="shared" si="41"/>
        <v>NO</v>
      </c>
      <c r="V221" t="str">
        <f t="shared" si="41"/>
        <v/>
      </c>
      <c r="W221" t="str">
        <f t="shared" si="37"/>
        <v/>
      </c>
      <c r="X221" s="1196" t="str">
        <f t="shared" si="38"/>
        <v/>
      </c>
      <c r="AJ221" s="1196" t="str">
        <f t="shared" si="39"/>
        <v/>
      </c>
    </row>
    <row r="222" spans="1:36" x14ac:dyDescent="0.35">
      <c r="A222" t="str">
        <f t="shared" si="40"/>
        <v>NO</v>
      </c>
      <c r="B222" t="str">
        <f t="shared" si="40"/>
        <v>NO</v>
      </c>
      <c r="C222" t="str">
        <f t="shared" si="40"/>
        <v>NO</v>
      </c>
      <c r="D222" t="str">
        <f t="shared" si="40"/>
        <v>NO</v>
      </c>
      <c r="E222" t="str">
        <f t="shared" si="40"/>
        <v>NO</v>
      </c>
      <c r="F222" t="str">
        <f t="shared" si="40"/>
        <v/>
      </c>
      <c r="H222" s="1196" t="str">
        <f t="shared" si="36"/>
        <v/>
      </c>
      <c r="Q222" t="str">
        <f t="shared" si="41"/>
        <v>NO</v>
      </c>
      <c r="R222" t="str">
        <f t="shared" si="41"/>
        <v>NO</v>
      </c>
      <c r="S222" t="str">
        <f t="shared" si="41"/>
        <v>NO</v>
      </c>
      <c r="T222" t="str">
        <f t="shared" si="41"/>
        <v>NO</v>
      </c>
      <c r="U222" t="str">
        <f t="shared" si="41"/>
        <v>NO</v>
      </c>
      <c r="V222" t="str">
        <f t="shared" si="41"/>
        <v/>
      </c>
      <c r="W222" t="str">
        <f t="shared" si="37"/>
        <v/>
      </c>
      <c r="X222" s="1196" t="str">
        <f t="shared" si="38"/>
        <v/>
      </c>
      <c r="AJ222" s="1196" t="str">
        <f t="shared" si="39"/>
        <v/>
      </c>
    </row>
    <row r="223" spans="1:36" x14ac:dyDescent="0.35">
      <c r="A223" t="str">
        <f t="shared" si="40"/>
        <v>NO</v>
      </c>
      <c r="B223" t="str">
        <f t="shared" si="40"/>
        <v>NO</v>
      </c>
      <c r="C223" t="str">
        <f t="shared" si="40"/>
        <v>NO</v>
      </c>
      <c r="D223" t="str">
        <f t="shared" si="40"/>
        <v>NO</v>
      </c>
      <c r="E223" t="str">
        <f t="shared" si="40"/>
        <v>NO</v>
      </c>
      <c r="F223" t="str">
        <f t="shared" si="40"/>
        <v/>
      </c>
      <c r="H223" s="1196" t="str">
        <f t="shared" si="36"/>
        <v/>
      </c>
      <c r="Q223" t="str">
        <f t="shared" si="41"/>
        <v>NO</v>
      </c>
      <c r="R223" t="str">
        <f t="shared" si="41"/>
        <v>NO</v>
      </c>
      <c r="S223" t="str">
        <f t="shared" si="41"/>
        <v>NO</v>
      </c>
      <c r="T223" t="str">
        <f t="shared" si="41"/>
        <v>NO</v>
      </c>
      <c r="U223" t="str">
        <f t="shared" si="41"/>
        <v>NO</v>
      </c>
      <c r="V223" t="str">
        <f t="shared" si="41"/>
        <v/>
      </c>
      <c r="W223" t="str">
        <f t="shared" si="37"/>
        <v/>
      </c>
      <c r="X223" s="1196" t="str">
        <f t="shared" si="38"/>
        <v/>
      </c>
      <c r="AJ223" s="1196" t="str">
        <f t="shared" si="39"/>
        <v/>
      </c>
    </row>
    <row r="224" spans="1:36" x14ac:dyDescent="0.35">
      <c r="A224" t="str">
        <f t="shared" si="40"/>
        <v>NO</v>
      </c>
      <c r="B224" t="str">
        <f t="shared" si="40"/>
        <v>NO</v>
      </c>
      <c r="C224" t="str">
        <f t="shared" si="40"/>
        <v>NO</v>
      </c>
      <c r="D224" t="str">
        <f t="shared" si="40"/>
        <v>NO</v>
      </c>
      <c r="E224" t="str">
        <f t="shared" si="40"/>
        <v>NO</v>
      </c>
      <c r="F224" t="str">
        <f t="shared" si="40"/>
        <v/>
      </c>
      <c r="H224" s="1196" t="str">
        <f t="shared" si="36"/>
        <v/>
      </c>
      <c r="Q224" t="str">
        <f t="shared" si="41"/>
        <v>NO</v>
      </c>
      <c r="R224" t="str">
        <f t="shared" si="41"/>
        <v>NO</v>
      </c>
      <c r="S224" t="str">
        <f t="shared" si="41"/>
        <v>NO</v>
      </c>
      <c r="T224" t="str">
        <f t="shared" si="41"/>
        <v>NO</v>
      </c>
      <c r="U224" t="str">
        <f t="shared" si="41"/>
        <v>NO</v>
      </c>
      <c r="V224" t="str">
        <f t="shared" si="41"/>
        <v/>
      </c>
      <c r="W224" t="str">
        <f t="shared" si="37"/>
        <v/>
      </c>
      <c r="X224" s="1196" t="str">
        <f t="shared" si="38"/>
        <v/>
      </c>
      <c r="AJ224" s="1196" t="str">
        <f t="shared" si="39"/>
        <v/>
      </c>
    </row>
    <row r="225" spans="1:36" x14ac:dyDescent="0.35">
      <c r="A225" t="str">
        <f t="shared" si="40"/>
        <v>NO</v>
      </c>
      <c r="B225" t="str">
        <f t="shared" si="40"/>
        <v>NO</v>
      </c>
      <c r="C225" t="str">
        <f t="shared" si="40"/>
        <v>NO</v>
      </c>
      <c r="D225" t="str">
        <f t="shared" si="40"/>
        <v>NO</v>
      </c>
      <c r="E225" t="str">
        <f t="shared" si="40"/>
        <v>NO</v>
      </c>
      <c r="F225" t="str">
        <f t="shared" si="40"/>
        <v/>
      </c>
      <c r="H225" s="1196" t="str">
        <f t="shared" si="36"/>
        <v/>
      </c>
      <c r="Q225" t="str">
        <f t="shared" si="41"/>
        <v>NO</v>
      </c>
      <c r="R225" t="str">
        <f t="shared" si="41"/>
        <v>NO</v>
      </c>
      <c r="S225" t="str">
        <f t="shared" si="41"/>
        <v>NO</v>
      </c>
      <c r="T225" t="str">
        <f t="shared" si="41"/>
        <v>NO</v>
      </c>
      <c r="U225" t="str">
        <f t="shared" si="41"/>
        <v>NO</v>
      </c>
      <c r="V225" t="str">
        <f t="shared" si="41"/>
        <v/>
      </c>
      <c r="W225" t="str">
        <f t="shared" si="37"/>
        <v/>
      </c>
      <c r="X225" s="1196" t="str">
        <f t="shared" si="38"/>
        <v/>
      </c>
      <c r="AJ225" s="1196" t="str">
        <f t="shared" si="39"/>
        <v/>
      </c>
    </row>
    <row r="226" spans="1:36" x14ac:dyDescent="0.35">
      <c r="A226" t="str">
        <f t="shared" si="40"/>
        <v>NO</v>
      </c>
      <c r="B226" t="str">
        <f t="shared" si="40"/>
        <v>NO</v>
      </c>
      <c r="C226" t="str">
        <f t="shared" si="40"/>
        <v>NO</v>
      </c>
      <c r="D226" t="str">
        <f t="shared" si="40"/>
        <v>NO</v>
      </c>
      <c r="E226" t="str">
        <f t="shared" si="40"/>
        <v>NO</v>
      </c>
      <c r="F226" t="str">
        <f t="shared" si="40"/>
        <v/>
      </c>
      <c r="H226" s="1196" t="str">
        <f t="shared" si="36"/>
        <v/>
      </c>
      <c r="Q226" t="str">
        <f t="shared" si="41"/>
        <v>NO</v>
      </c>
      <c r="R226" t="str">
        <f t="shared" si="41"/>
        <v>NO</v>
      </c>
      <c r="S226" t="str">
        <f t="shared" si="41"/>
        <v>NO</v>
      </c>
      <c r="T226" t="str">
        <f t="shared" si="41"/>
        <v>NO</v>
      </c>
      <c r="U226" t="str">
        <f t="shared" si="41"/>
        <v>NO</v>
      </c>
      <c r="V226" t="str">
        <f t="shared" si="41"/>
        <v/>
      </c>
      <c r="W226" t="str">
        <f t="shared" si="37"/>
        <v/>
      </c>
      <c r="X226" s="1196" t="str">
        <f t="shared" si="38"/>
        <v/>
      </c>
      <c r="AJ226" s="1196" t="str">
        <f t="shared" si="39"/>
        <v/>
      </c>
    </row>
    <row r="227" spans="1:36" x14ac:dyDescent="0.35">
      <c r="A227" t="str">
        <f t="shared" si="40"/>
        <v>NO</v>
      </c>
      <c r="B227" t="str">
        <f t="shared" si="40"/>
        <v>NO</v>
      </c>
      <c r="C227" t="str">
        <f t="shared" si="40"/>
        <v>NO</v>
      </c>
      <c r="D227" t="str">
        <f t="shared" si="40"/>
        <v>NO</v>
      </c>
      <c r="E227" t="str">
        <f t="shared" si="40"/>
        <v>NO</v>
      </c>
      <c r="F227" t="str">
        <f t="shared" si="40"/>
        <v/>
      </c>
      <c r="H227" s="1196" t="str">
        <f t="shared" si="36"/>
        <v/>
      </c>
      <c r="Q227" t="str">
        <f t="shared" si="41"/>
        <v>NO</v>
      </c>
      <c r="R227" t="str">
        <f t="shared" si="41"/>
        <v>NO</v>
      </c>
      <c r="S227" t="str">
        <f t="shared" si="41"/>
        <v>NO</v>
      </c>
      <c r="T227" t="str">
        <f t="shared" si="41"/>
        <v>NO</v>
      </c>
      <c r="U227" t="str">
        <f t="shared" si="41"/>
        <v>NO</v>
      </c>
      <c r="V227" t="str">
        <f t="shared" si="41"/>
        <v/>
      </c>
      <c r="W227" t="str">
        <f t="shared" si="37"/>
        <v/>
      </c>
      <c r="X227" s="1196" t="str">
        <f t="shared" si="38"/>
        <v/>
      </c>
      <c r="AJ227" s="1196" t="str">
        <f t="shared" si="39"/>
        <v/>
      </c>
    </row>
    <row r="228" spans="1:36" x14ac:dyDescent="0.35">
      <c r="A228" t="str">
        <f t="shared" si="40"/>
        <v>NO</v>
      </c>
      <c r="B228" t="str">
        <f t="shared" si="40"/>
        <v>NO</v>
      </c>
      <c r="C228" t="str">
        <f t="shared" si="40"/>
        <v>NO</v>
      </c>
      <c r="D228" t="str">
        <f t="shared" si="40"/>
        <v>NO</v>
      </c>
      <c r="E228" t="str">
        <f t="shared" si="40"/>
        <v>NO</v>
      </c>
      <c r="F228" t="str">
        <f t="shared" si="40"/>
        <v/>
      </c>
      <c r="H228" s="1196" t="str">
        <f t="shared" si="36"/>
        <v/>
      </c>
      <c r="Q228" t="str">
        <f t="shared" si="41"/>
        <v>NO</v>
      </c>
      <c r="R228" t="str">
        <f t="shared" si="41"/>
        <v>NO</v>
      </c>
      <c r="S228" t="str">
        <f t="shared" si="41"/>
        <v>NO</v>
      </c>
      <c r="T228" t="str">
        <f t="shared" si="41"/>
        <v>NO</v>
      </c>
      <c r="U228" t="str">
        <f t="shared" si="41"/>
        <v>NO</v>
      </c>
      <c r="V228" t="str">
        <f t="shared" si="41"/>
        <v/>
      </c>
      <c r="W228" t="str">
        <f t="shared" si="37"/>
        <v/>
      </c>
      <c r="X228" s="1196" t="str">
        <f t="shared" si="38"/>
        <v/>
      </c>
      <c r="AJ228" s="1196" t="str">
        <f t="shared" si="39"/>
        <v/>
      </c>
    </row>
    <row r="229" spans="1:36" x14ac:dyDescent="0.35">
      <c r="A229" t="str">
        <f t="shared" si="40"/>
        <v>NO</v>
      </c>
      <c r="B229" t="str">
        <f t="shared" si="40"/>
        <v>NO</v>
      </c>
      <c r="C229" t="str">
        <f t="shared" si="40"/>
        <v>NO</v>
      </c>
      <c r="D229" t="str">
        <f t="shared" si="40"/>
        <v>NO</v>
      </c>
      <c r="E229" t="str">
        <f t="shared" si="40"/>
        <v>NO</v>
      </c>
      <c r="F229" t="str">
        <f t="shared" si="40"/>
        <v/>
      </c>
      <c r="H229" s="1196" t="str">
        <f t="shared" si="36"/>
        <v/>
      </c>
      <c r="Q229" t="str">
        <f t="shared" si="41"/>
        <v>NO</v>
      </c>
      <c r="R229" t="str">
        <f t="shared" si="41"/>
        <v>NO</v>
      </c>
      <c r="S229" t="str">
        <f t="shared" si="41"/>
        <v>NO</v>
      </c>
      <c r="T229" t="str">
        <f t="shared" si="41"/>
        <v>NO</v>
      </c>
      <c r="U229" t="str">
        <f t="shared" si="41"/>
        <v>NO</v>
      </c>
      <c r="V229" t="str">
        <f t="shared" si="41"/>
        <v/>
      </c>
      <c r="W229" t="str">
        <f t="shared" si="37"/>
        <v/>
      </c>
      <c r="X229" s="1196" t="str">
        <f t="shared" si="38"/>
        <v/>
      </c>
      <c r="AJ229" s="1196" t="str">
        <f t="shared" si="39"/>
        <v/>
      </c>
    </row>
    <row r="230" spans="1:36" x14ac:dyDescent="0.35">
      <c r="A230" t="str">
        <f t="shared" si="40"/>
        <v>NO</v>
      </c>
      <c r="B230" t="str">
        <f t="shared" si="40"/>
        <v>NO</v>
      </c>
      <c r="C230" t="str">
        <f t="shared" si="40"/>
        <v>NO</v>
      </c>
      <c r="D230" t="str">
        <f t="shared" si="40"/>
        <v>NO</v>
      </c>
      <c r="E230" t="str">
        <f t="shared" si="40"/>
        <v>NO</v>
      </c>
      <c r="F230" t="str">
        <f t="shared" si="40"/>
        <v/>
      </c>
      <c r="H230" s="1196" t="str">
        <f t="shared" si="36"/>
        <v/>
      </c>
      <c r="Q230" t="str">
        <f t="shared" si="41"/>
        <v>NO</v>
      </c>
      <c r="R230" t="str">
        <f t="shared" si="41"/>
        <v>NO</v>
      </c>
      <c r="S230" t="str">
        <f t="shared" si="41"/>
        <v>NO</v>
      </c>
      <c r="T230" t="str">
        <f t="shared" si="41"/>
        <v>NO</v>
      </c>
      <c r="U230" t="str">
        <f t="shared" si="41"/>
        <v>NO</v>
      </c>
      <c r="V230" t="str">
        <f t="shared" si="41"/>
        <v/>
      </c>
      <c r="W230" t="str">
        <f t="shared" si="37"/>
        <v/>
      </c>
      <c r="X230" s="1196" t="str">
        <f t="shared" si="38"/>
        <v/>
      </c>
      <c r="AJ230" s="1196" t="str">
        <f t="shared" si="39"/>
        <v/>
      </c>
    </row>
    <row r="231" spans="1:36" x14ac:dyDescent="0.35">
      <c r="A231" t="str">
        <f t="shared" si="40"/>
        <v>NO</v>
      </c>
      <c r="B231" t="str">
        <f t="shared" si="40"/>
        <v>NO</v>
      </c>
      <c r="C231" t="str">
        <f t="shared" si="40"/>
        <v>NO</v>
      </c>
      <c r="D231" t="str">
        <f t="shared" si="40"/>
        <v>NO</v>
      </c>
      <c r="E231" t="str">
        <f t="shared" si="40"/>
        <v>NO</v>
      </c>
      <c r="F231" t="str">
        <f t="shared" si="40"/>
        <v/>
      </c>
      <c r="H231" s="1196" t="str">
        <f t="shared" si="36"/>
        <v/>
      </c>
      <c r="Q231" t="str">
        <f t="shared" si="41"/>
        <v>NO</v>
      </c>
      <c r="R231" t="str">
        <f t="shared" si="41"/>
        <v>NO</v>
      </c>
      <c r="S231" t="str">
        <f t="shared" si="41"/>
        <v>NO</v>
      </c>
      <c r="T231" t="str">
        <f t="shared" si="41"/>
        <v>NO</v>
      </c>
      <c r="U231" t="str">
        <f t="shared" si="41"/>
        <v>NO</v>
      </c>
      <c r="V231" t="str">
        <f t="shared" si="41"/>
        <v/>
      </c>
      <c r="W231" t="str">
        <f t="shared" si="37"/>
        <v/>
      </c>
      <c r="X231" s="1196" t="str">
        <f t="shared" si="38"/>
        <v/>
      </c>
      <c r="AJ231" s="1196" t="str">
        <f t="shared" si="39"/>
        <v/>
      </c>
    </row>
    <row r="232" spans="1:36" x14ac:dyDescent="0.35">
      <c r="A232" t="str">
        <f t="shared" si="40"/>
        <v>NO</v>
      </c>
      <c r="B232" t="str">
        <f t="shared" si="40"/>
        <v>NO</v>
      </c>
      <c r="C232" t="str">
        <f t="shared" si="40"/>
        <v>NO</v>
      </c>
      <c r="D232" t="str">
        <f t="shared" si="40"/>
        <v>NO</v>
      </c>
      <c r="E232" t="str">
        <f t="shared" si="40"/>
        <v>NO</v>
      </c>
      <c r="F232" t="str">
        <f t="shared" si="40"/>
        <v/>
      </c>
      <c r="H232" s="1196" t="str">
        <f t="shared" si="36"/>
        <v/>
      </c>
      <c r="Q232" t="str">
        <f t="shared" si="41"/>
        <v>NO</v>
      </c>
      <c r="R232" t="str">
        <f t="shared" si="41"/>
        <v>NO</v>
      </c>
      <c r="S232" t="str">
        <f t="shared" si="41"/>
        <v>NO</v>
      </c>
      <c r="T232" t="str">
        <f t="shared" si="41"/>
        <v>NO</v>
      </c>
      <c r="U232" t="str">
        <f t="shared" si="41"/>
        <v>NO</v>
      </c>
      <c r="V232" t="str">
        <f t="shared" si="41"/>
        <v/>
      </c>
      <c r="W232" t="str">
        <f t="shared" si="37"/>
        <v/>
      </c>
      <c r="X232" s="1196" t="str">
        <f t="shared" si="38"/>
        <v/>
      </c>
      <c r="AJ232" s="1196" t="str">
        <f t="shared" si="39"/>
        <v/>
      </c>
    </row>
    <row r="233" spans="1:36" x14ac:dyDescent="0.35">
      <c r="A233" t="str">
        <f t="shared" si="40"/>
        <v>NO</v>
      </c>
      <c r="B233" t="str">
        <f t="shared" si="40"/>
        <v>NO</v>
      </c>
      <c r="C233" t="str">
        <f t="shared" si="40"/>
        <v>NO</v>
      </c>
      <c r="D233" t="str">
        <f t="shared" si="40"/>
        <v>NO</v>
      </c>
      <c r="E233" t="str">
        <f t="shared" si="40"/>
        <v>NO</v>
      </c>
      <c r="F233" t="str">
        <f t="shared" si="40"/>
        <v/>
      </c>
      <c r="H233" s="1196" t="str">
        <f t="shared" si="36"/>
        <v/>
      </c>
      <c r="Q233" t="str">
        <f t="shared" si="41"/>
        <v>NO</v>
      </c>
      <c r="R233" t="str">
        <f t="shared" si="41"/>
        <v>NO</v>
      </c>
      <c r="S233" t="str">
        <f t="shared" si="41"/>
        <v>NO</v>
      </c>
      <c r="T233" t="str">
        <f t="shared" si="41"/>
        <v>NO</v>
      </c>
      <c r="U233" t="str">
        <f t="shared" si="41"/>
        <v>NO</v>
      </c>
      <c r="V233" t="str">
        <f t="shared" si="41"/>
        <v/>
      </c>
      <c r="W233" t="str">
        <f t="shared" si="37"/>
        <v/>
      </c>
      <c r="X233" s="1196" t="str">
        <f t="shared" si="38"/>
        <v/>
      </c>
      <c r="AJ233" s="1196" t="str">
        <f t="shared" si="39"/>
        <v/>
      </c>
    </row>
    <row r="234" spans="1:36" x14ac:dyDescent="0.35">
      <c r="A234" t="str">
        <f t="shared" si="40"/>
        <v>NO</v>
      </c>
      <c r="B234" t="str">
        <f t="shared" si="40"/>
        <v>NO</v>
      </c>
      <c r="C234" t="str">
        <f t="shared" si="40"/>
        <v>NO</v>
      </c>
      <c r="D234" t="str">
        <f t="shared" si="40"/>
        <v>NO</v>
      </c>
      <c r="E234" t="str">
        <f t="shared" si="40"/>
        <v>NO</v>
      </c>
      <c r="F234" t="str">
        <f t="shared" si="40"/>
        <v/>
      </c>
      <c r="H234" s="1196" t="str">
        <f t="shared" si="36"/>
        <v/>
      </c>
      <c r="Q234" t="str">
        <f t="shared" si="41"/>
        <v>NO</v>
      </c>
      <c r="R234" t="str">
        <f t="shared" si="41"/>
        <v>NO</v>
      </c>
      <c r="S234" t="str">
        <f t="shared" si="41"/>
        <v>NO</v>
      </c>
      <c r="T234" t="str">
        <f t="shared" si="41"/>
        <v>NO</v>
      </c>
      <c r="U234" t="str">
        <f t="shared" si="41"/>
        <v>NO</v>
      </c>
      <c r="V234" t="str">
        <f t="shared" si="41"/>
        <v/>
      </c>
      <c r="W234" t="str">
        <f t="shared" si="37"/>
        <v/>
      </c>
      <c r="X234" s="1196" t="str">
        <f t="shared" si="38"/>
        <v/>
      </c>
      <c r="AJ234" s="1196" t="str">
        <f t="shared" si="39"/>
        <v/>
      </c>
    </row>
    <row r="235" spans="1:36" x14ac:dyDescent="0.35">
      <c r="A235" t="str">
        <f t="shared" si="40"/>
        <v>NO</v>
      </c>
      <c r="B235" t="str">
        <f t="shared" si="40"/>
        <v>NO</v>
      </c>
      <c r="C235" t="str">
        <f t="shared" si="40"/>
        <v>NO</v>
      </c>
      <c r="D235" t="str">
        <f t="shared" si="40"/>
        <v>NO</v>
      </c>
      <c r="E235" t="str">
        <f t="shared" si="40"/>
        <v>NO</v>
      </c>
      <c r="F235" t="str">
        <f t="shared" si="40"/>
        <v/>
      </c>
      <c r="H235" s="1196" t="str">
        <f t="shared" si="36"/>
        <v/>
      </c>
      <c r="Q235" t="str">
        <f t="shared" si="41"/>
        <v>NO</v>
      </c>
      <c r="R235" t="str">
        <f t="shared" si="41"/>
        <v>NO</v>
      </c>
      <c r="S235" t="str">
        <f t="shared" si="41"/>
        <v>NO</v>
      </c>
      <c r="T235" t="str">
        <f t="shared" si="41"/>
        <v>NO</v>
      </c>
      <c r="U235" t="str">
        <f t="shared" si="41"/>
        <v>NO</v>
      </c>
      <c r="V235" t="str">
        <f t="shared" si="41"/>
        <v/>
      </c>
      <c r="W235" t="str">
        <f t="shared" si="37"/>
        <v/>
      </c>
      <c r="X235" s="1196" t="str">
        <f t="shared" si="38"/>
        <v/>
      </c>
      <c r="AJ235" s="1196" t="str">
        <f t="shared" si="39"/>
        <v/>
      </c>
    </row>
    <row r="236" spans="1:36" x14ac:dyDescent="0.35">
      <c r="A236" t="str">
        <f t="shared" si="40"/>
        <v>NO</v>
      </c>
      <c r="B236" t="str">
        <f t="shared" si="40"/>
        <v>NO</v>
      </c>
      <c r="C236" t="str">
        <f t="shared" si="40"/>
        <v>NO</v>
      </c>
      <c r="D236" t="str">
        <f t="shared" si="40"/>
        <v>NO</v>
      </c>
      <c r="E236" t="str">
        <f t="shared" si="40"/>
        <v>NO</v>
      </c>
      <c r="F236" t="str">
        <f t="shared" si="40"/>
        <v/>
      </c>
      <c r="H236" s="1196" t="str">
        <f t="shared" si="36"/>
        <v/>
      </c>
      <c r="Q236" t="str">
        <f t="shared" si="41"/>
        <v>NO</v>
      </c>
      <c r="R236" t="str">
        <f t="shared" si="41"/>
        <v>NO</v>
      </c>
      <c r="S236" t="str">
        <f t="shared" si="41"/>
        <v>NO</v>
      </c>
      <c r="T236" t="str">
        <f t="shared" si="41"/>
        <v>NO</v>
      </c>
      <c r="U236" t="str">
        <f t="shared" si="41"/>
        <v>NO</v>
      </c>
      <c r="V236" t="str">
        <f t="shared" si="41"/>
        <v/>
      </c>
      <c r="W236" t="str">
        <f t="shared" si="37"/>
        <v/>
      </c>
      <c r="X236" s="1196" t="str">
        <f t="shared" si="38"/>
        <v/>
      </c>
      <c r="AJ236" s="1196" t="str">
        <f t="shared" si="39"/>
        <v/>
      </c>
    </row>
    <row r="237" spans="1:36" x14ac:dyDescent="0.35">
      <c r="A237" t="str">
        <f t="shared" si="40"/>
        <v>NO</v>
      </c>
      <c r="B237" t="str">
        <f t="shared" si="40"/>
        <v>NO</v>
      </c>
      <c r="C237" t="str">
        <f t="shared" si="40"/>
        <v>NO</v>
      </c>
      <c r="D237" t="str">
        <f t="shared" si="40"/>
        <v>NO</v>
      </c>
      <c r="E237" t="str">
        <f t="shared" si="40"/>
        <v>NO</v>
      </c>
      <c r="F237" t="str">
        <f t="shared" si="40"/>
        <v/>
      </c>
      <c r="H237" s="1196" t="str">
        <f t="shared" si="36"/>
        <v/>
      </c>
      <c r="Q237" t="str">
        <f t="shared" si="41"/>
        <v>NO</v>
      </c>
      <c r="R237" t="str">
        <f t="shared" si="41"/>
        <v>NO</v>
      </c>
      <c r="S237" t="str">
        <f t="shared" si="41"/>
        <v>NO</v>
      </c>
      <c r="T237" t="str">
        <f t="shared" si="41"/>
        <v>NO</v>
      </c>
      <c r="U237" t="str">
        <f t="shared" si="41"/>
        <v>NO</v>
      </c>
      <c r="V237" t="str">
        <f t="shared" si="41"/>
        <v/>
      </c>
      <c r="W237" t="str">
        <f t="shared" si="37"/>
        <v/>
      </c>
      <c r="X237" s="1196" t="str">
        <f t="shared" si="38"/>
        <v/>
      </c>
      <c r="AJ237" s="1196" t="str">
        <f t="shared" si="39"/>
        <v/>
      </c>
    </row>
    <row r="238" spans="1:36" x14ac:dyDescent="0.35">
      <c r="A238" t="str">
        <f t="shared" si="40"/>
        <v>NO</v>
      </c>
      <c r="B238" t="str">
        <f t="shared" si="40"/>
        <v>NO</v>
      </c>
      <c r="C238" t="str">
        <f t="shared" si="40"/>
        <v>NO</v>
      </c>
      <c r="D238" t="str">
        <f t="shared" si="40"/>
        <v>NO</v>
      </c>
      <c r="E238" t="str">
        <f t="shared" si="40"/>
        <v>NO</v>
      </c>
      <c r="F238" t="str">
        <f t="shared" si="40"/>
        <v/>
      </c>
      <c r="H238" s="1196" t="str">
        <f t="shared" si="36"/>
        <v/>
      </c>
      <c r="Q238" t="str">
        <f t="shared" si="41"/>
        <v>NO</v>
      </c>
      <c r="R238" t="str">
        <f t="shared" si="41"/>
        <v>NO</v>
      </c>
      <c r="S238" t="str">
        <f t="shared" si="41"/>
        <v>NO</v>
      </c>
      <c r="T238" t="str">
        <f t="shared" si="41"/>
        <v>NO</v>
      </c>
      <c r="U238" t="str">
        <f t="shared" si="41"/>
        <v>NO</v>
      </c>
      <c r="V238" t="str">
        <f t="shared" si="41"/>
        <v/>
      </c>
      <c r="W238" t="str">
        <f t="shared" si="37"/>
        <v/>
      </c>
      <c r="X238" s="1196" t="str">
        <f t="shared" si="38"/>
        <v/>
      </c>
      <c r="AJ238" s="1196" t="str">
        <f t="shared" si="39"/>
        <v/>
      </c>
    </row>
    <row r="239" spans="1:36" x14ac:dyDescent="0.35">
      <c r="A239" t="str">
        <f t="shared" si="40"/>
        <v>NO</v>
      </c>
      <c r="B239" t="str">
        <f t="shared" si="40"/>
        <v>NO</v>
      </c>
      <c r="C239" t="str">
        <f t="shared" si="40"/>
        <v>NO</v>
      </c>
      <c r="D239" t="str">
        <f t="shared" si="40"/>
        <v>NO</v>
      </c>
      <c r="E239" t="str">
        <f t="shared" si="40"/>
        <v>NO</v>
      </c>
      <c r="F239" t="str">
        <f t="shared" si="40"/>
        <v/>
      </c>
      <c r="H239" s="1196" t="str">
        <f t="shared" si="36"/>
        <v/>
      </c>
      <c r="Q239" t="str">
        <f t="shared" si="41"/>
        <v>NO</v>
      </c>
      <c r="R239" t="str">
        <f t="shared" si="41"/>
        <v>NO</v>
      </c>
      <c r="S239" t="str">
        <f t="shared" si="41"/>
        <v>NO</v>
      </c>
      <c r="T239" t="str">
        <f t="shared" si="41"/>
        <v>NO</v>
      </c>
      <c r="U239" t="str">
        <f t="shared" si="41"/>
        <v>NO</v>
      </c>
      <c r="V239" t="str">
        <f t="shared" si="41"/>
        <v/>
      </c>
      <c r="W239" t="str">
        <f t="shared" si="37"/>
        <v/>
      </c>
      <c r="X239" s="1196" t="str">
        <f t="shared" si="38"/>
        <v/>
      </c>
      <c r="AJ239" s="1196" t="str">
        <f t="shared" si="39"/>
        <v/>
      </c>
    </row>
    <row r="240" spans="1:36" x14ac:dyDescent="0.35">
      <c r="A240" t="str">
        <f t="shared" si="40"/>
        <v>NO</v>
      </c>
      <c r="B240" t="str">
        <f t="shared" si="40"/>
        <v>NO</v>
      </c>
      <c r="C240" t="str">
        <f t="shared" si="40"/>
        <v>NO</v>
      </c>
      <c r="D240" t="str">
        <f t="shared" si="40"/>
        <v>NO</v>
      </c>
      <c r="E240" t="str">
        <f t="shared" si="40"/>
        <v>NO</v>
      </c>
      <c r="F240" t="str">
        <f t="shared" si="40"/>
        <v/>
      </c>
      <c r="H240" s="1196" t="str">
        <f t="shared" si="36"/>
        <v/>
      </c>
      <c r="Q240" t="str">
        <f t="shared" si="41"/>
        <v>NO</v>
      </c>
      <c r="R240" t="str">
        <f t="shared" si="41"/>
        <v>NO</v>
      </c>
      <c r="S240" t="str">
        <f t="shared" si="41"/>
        <v>NO</v>
      </c>
      <c r="T240" t="str">
        <f t="shared" si="41"/>
        <v>NO</v>
      </c>
      <c r="U240" t="str">
        <f t="shared" si="41"/>
        <v>NO</v>
      </c>
      <c r="V240" t="str">
        <f t="shared" si="41"/>
        <v/>
      </c>
      <c r="W240" t="str">
        <f t="shared" si="37"/>
        <v/>
      </c>
      <c r="X240" s="1196" t="str">
        <f t="shared" si="38"/>
        <v/>
      </c>
      <c r="AJ240" s="1196" t="str">
        <f t="shared" si="39"/>
        <v/>
      </c>
    </row>
  </sheetData>
  <mergeCells count="3">
    <mergeCell ref="H1:O1"/>
    <mergeCell ref="AG1:AI1"/>
    <mergeCell ref="X1:AE1"/>
  </mergeCells>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4EA76-ABD0-42FA-8AAC-3CAE9C4E8DC5}">
  <sheetPr codeName="Foglio29"/>
  <dimension ref="A1:U177"/>
  <sheetViews>
    <sheetView topLeftCell="A33" workbookViewId="0">
      <selection activeCell="B16" sqref="B16"/>
    </sheetView>
  </sheetViews>
  <sheetFormatPr defaultRowHeight="14.5" x14ac:dyDescent="0.35"/>
  <cols>
    <col min="1" max="1" width="3.453125" customWidth="1"/>
    <col min="2" max="2" width="27" customWidth="1"/>
    <col min="3" max="3" width="14.7265625" customWidth="1"/>
    <col min="4" max="4" width="14.7265625" bestFit="1" customWidth="1"/>
    <col min="5" max="5" width="15.453125" customWidth="1"/>
    <col min="6" max="6" width="14.7265625" customWidth="1"/>
    <col min="7" max="7" width="15.81640625" customWidth="1"/>
    <col min="8" max="9" width="14.453125" customWidth="1"/>
    <col min="10" max="10" width="30.7265625" customWidth="1"/>
    <col min="11" max="11" width="40.453125" customWidth="1"/>
    <col min="12" max="12" width="11.54296875" customWidth="1"/>
    <col min="13" max="13" width="11.453125" customWidth="1"/>
    <col min="14" max="14" width="10.54296875" customWidth="1"/>
    <col min="15" max="16" width="9.7265625" bestFit="1" customWidth="1"/>
    <col min="19" max="19" width="9.7265625" bestFit="1" customWidth="1"/>
    <col min="20" max="20" width="8.54296875" customWidth="1"/>
    <col min="21" max="21" width="9.1796875" style="989"/>
  </cols>
  <sheetData>
    <row r="1" spans="1:20" ht="15" thickBot="1" x14ac:dyDescent="0.4">
      <c r="A1" s="860"/>
      <c r="B1" s="860"/>
      <c r="C1" s="860"/>
      <c r="D1" s="860"/>
      <c r="E1" s="860"/>
      <c r="F1" s="860"/>
      <c r="G1" s="860"/>
      <c r="H1" s="860"/>
      <c r="I1" s="860"/>
      <c r="J1" s="860"/>
      <c r="K1" s="860"/>
      <c r="L1" s="989"/>
      <c r="M1" s="989"/>
      <c r="N1" s="989"/>
      <c r="O1" s="989"/>
      <c r="P1" s="989"/>
      <c r="Q1" s="989"/>
      <c r="R1" s="989"/>
      <c r="S1" s="989"/>
      <c r="T1" s="989"/>
    </row>
    <row r="2" spans="1:20" ht="21" x14ac:dyDescent="0.35">
      <c r="A2" s="860" t="s">
        <v>626</v>
      </c>
      <c r="B2" s="2147" t="s">
        <v>2306</v>
      </c>
      <c r="C2" s="2148"/>
      <c r="D2" s="2148"/>
      <c r="E2" s="2148"/>
      <c r="F2" s="2148"/>
      <c r="G2" s="2148"/>
      <c r="H2" s="2148"/>
      <c r="I2" s="2148"/>
      <c r="J2" s="2148"/>
      <c r="K2" s="2149"/>
      <c r="L2" s="989"/>
      <c r="M2" s="989"/>
      <c r="N2" s="989"/>
      <c r="O2" s="989"/>
      <c r="P2" s="989"/>
      <c r="Q2" s="989"/>
      <c r="R2" s="989"/>
      <c r="S2" s="989"/>
      <c r="T2" s="989"/>
    </row>
    <row r="3" spans="1:20" x14ac:dyDescent="0.35">
      <c r="A3" s="860"/>
      <c r="B3" s="933"/>
      <c r="C3" s="934"/>
      <c r="D3" s="934"/>
      <c r="E3" s="934"/>
      <c r="F3" s="934"/>
      <c r="G3" s="934"/>
      <c r="H3" s="934"/>
      <c r="I3" s="934"/>
      <c r="J3" s="934"/>
      <c r="K3" s="935"/>
      <c r="L3" s="989"/>
      <c r="M3" s="989"/>
      <c r="N3" s="989"/>
      <c r="O3" s="989"/>
      <c r="P3" s="989"/>
      <c r="Q3" s="989"/>
      <c r="R3" s="989"/>
      <c r="S3" s="989"/>
      <c r="T3" s="989"/>
    </row>
    <row r="4" spans="1:20" x14ac:dyDescent="0.35">
      <c r="A4" s="860"/>
      <c r="B4" s="936" t="s">
        <v>2129</v>
      </c>
      <c r="C4" s="2136">
        <f>+Anagrafica!$C$6</f>
        <v>0</v>
      </c>
      <c r="D4" s="2136"/>
      <c r="E4" s="2136"/>
      <c r="F4" s="2136"/>
      <c r="G4" s="937" t="s">
        <v>2130</v>
      </c>
      <c r="H4" s="979">
        <f>+Anagrafica!$C$2</f>
        <v>0</v>
      </c>
      <c r="I4" s="979"/>
      <c r="J4" s="1004" t="s">
        <v>1</v>
      </c>
      <c r="K4" s="938" t="str">
        <f>+Anagrafica!$G$2</f>
        <v>Capo III</v>
      </c>
      <c r="L4" s="989"/>
      <c r="M4" s="989"/>
      <c r="N4" s="989"/>
      <c r="O4" s="989"/>
      <c r="P4" s="989"/>
      <c r="Q4" s="989"/>
      <c r="R4" s="989"/>
      <c r="S4" s="989"/>
      <c r="T4" s="989"/>
    </row>
    <row r="5" spans="1:20" x14ac:dyDescent="0.35">
      <c r="A5" s="860"/>
      <c r="B5" s="939"/>
      <c r="C5" s="860"/>
      <c r="D5" s="860"/>
      <c r="E5" s="860"/>
      <c r="F5" s="860"/>
      <c r="G5" s="860"/>
      <c r="H5" s="860"/>
      <c r="I5" s="860"/>
      <c r="J5" s="860"/>
      <c r="K5" s="940"/>
      <c r="L5" s="989"/>
      <c r="M5" s="989"/>
      <c r="N5" s="989"/>
      <c r="O5" s="989"/>
      <c r="P5" s="989"/>
      <c r="Q5" s="989"/>
      <c r="R5" s="989"/>
      <c r="S5" s="989"/>
      <c r="T5" s="989"/>
    </row>
    <row r="6" spans="1:20" x14ac:dyDescent="0.35">
      <c r="A6" s="860"/>
      <c r="B6" s="2150" t="s">
        <v>2189</v>
      </c>
      <c r="C6" s="2151"/>
      <c r="D6" s="2151"/>
      <c r="E6" s="2151"/>
      <c r="F6" s="2151"/>
      <c r="G6" s="2151"/>
      <c r="H6" s="2152" t="str">
        <f>+Anagrafica!C5</f>
        <v>Legale Rappresentante</v>
      </c>
      <c r="I6" s="2152"/>
      <c r="J6" s="2152"/>
      <c r="K6" s="2153"/>
      <c r="L6" s="989"/>
      <c r="M6" s="989"/>
      <c r="N6" s="989"/>
      <c r="O6" s="989"/>
      <c r="P6" s="989"/>
      <c r="Q6" s="989"/>
      <c r="R6" s="989"/>
      <c r="S6" s="989"/>
      <c r="T6" s="989"/>
    </row>
    <row r="7" spans="1:20" x14ac:dyDescent="0.35">
      <c r="A7" s="860"/>
      <c r="B7" s="939"/>
      <c r="C7" s="860"/>
      <c r="D7" s="860"/>
      <c r="E7" s="860"/>
      <c r="F7" s="860"/>
      <c r="G7" s="860"/>
      <c r="H7" s="860"/>
      <c r="I7" s="860"/>
      <c r="J7" s="860"/>
      <c r="K7" s="940"/>
      <c r="L7" s="989"/>
      <c r="M7" s="989"/>
      <c r="N7" s="989"/>
      <c r="O7" s="989"/>
      <c r="P7" s="989"/>
      <c r="Q7" s="989"/>
      <c r="R7" s="989"/>
      <c r="S7" s="989"/>
      <c r="T7" s="989"/>
    </row>
    <row r="8" spans="1:20" x14ac:dyDescent="0.35">
      <c r="A8" s="860"/>
      <c r="B8" s="2154" t="str">
        <f>+IF(OR(Anagrafica!C3="",Anagrafica!C4=""),"",CONCATENATE(Anagrafica!C3," codice fiscale ",Anagrafica!C4))</f>
        <v/>
      </c>
      <c r="C8" s="2152"/>
      <c r="D8" s="2152"/>
      <c r="E8" s="2152"/>
      <c r="F8" s="2152"/>
      <c r="G8" s="2152"/>
      <c r="H8" s="2152"/>
      <c r="I8" s="2152"/>
      <c r="J8" s="2152"/>
      <c r="K8" s="2153"/>
      <c r="L8" s="989"/>
      <c r="M8" s="989"/>
      <c r="N8" s="989"/>
      <c r="O8" s="989"/>
      <c r="P8" s="989"/>
      <c r="Q8" s="989"/>
      <c r="R8" s="989"/>
      <c r="S8" s="989"/>
      <c r="T8" s="989"/>
    </row>
    <row r="9" spans="1:20" x14ac:dyDescent="0.35">
      <c r="A9" s="860"/>
      <c r="B9" s="939"/>
      <c r="C9" s="860"/>
      <c r="D9" s="860"/>
      <c r="E9" s="860"/>
      <c r="F9" s="860"/>
      <c r="G9" s="860"/>
      <c r="H9" s="860"/>
      <c r="I9" s="860"/>
      <c r="J9" s="860"/>
      <c r="K9" s="940"/>
      <c r="L9" s="989"/>
      <c r="M9" s="989"/>
      <c r="N9" s="989"/>
      <c r="O9" s="989"/>
      <c r="P9" s="989"/>
      <c r="Q9" s="989"/>
      <c r="R9" s="989"/>
      <c r="S9" s="989"/>
      <c r="T9" s="989"/>
    </row>
    <row r="10" spans="1:20" x14ac:dyDescent="0.35">
      <c r="A10" s="860"/>
      <c r="B10" s="2155" t="s">
        <v>2132</v>
      </c>
      <c r="C10" s="2157" t="str">
        <f>+IF(OR(Anagrafica!C7="",Anagrafica!C8="",Anagrafica!H8=""),"",CONCATENATE(Anagrafica!C7," - ",Anagrafica!C8," (",Anagrafica!H8,")"))</f>
        <v/>
      </c>
      <c r="D10" s="2157"/>
      <c r="E10" s="2157"/>
      <c r="F10" s="2157"/>
      <c r="G10" s="2157"/>
      <c r="H10" s="2157"/>
      <c r="I10" s="2157"/>
      <c r="J10" s="2157"/>
      <c r="K10" s="2158"/>
      <c r="L10" s="989"/>
      <c r="M10" s="989"/>
      <c r="N10" s="989"/>
      <c r="O10" s="989"/>
      <c r="P10" s="989"/>
      <c r="Q10" s="989"/>
      <c r="R10" s="989"/>
      <c r="S10" s="989"/>
      <c r="T10" s="989"/>
    </row>
    <row r="11" spans="1:20" x14ac:dyDescent="0.35">
      <c r="A11" s="860"/>
      <c r="B11" s="2156"/>
      <c r="C11" s="2159"/>
      <c r="D11" s="2159"/>
      <c r="E11" s="2159"/>
      <c r="F11" s="2159"/>
      <c r="G11" s="2159"/>
      <c r="H11" s="2159"/>
      <c r="I11" s="2159"/>
      <c r="J11" s="2159"/>
      <c r="K11" s="2160"/>
      <c r="L11" s="989"/>
      <c r="M11" s="989"/>
      <c r="N11" s="989"/>
      <c r="O11" s="989"/>
      <c r="P11" s="989"/>
      <c r="Q11" s="989"/>
      <c r="R11" s="989"/>
      <c r="S11" s="989"/>
      <c r="T11" s="989"/>
    </row>
    <row r="12" spans="1:20" x14ac:dyDescent="0.35">
      <c r="A12" s="860"/>
      <c r="B12" s="941"/>
      <c r="C12" s="860"/>
      <c r="D12" s="860"/>
      <c r="E12" s="860"/>
      <c r="F12" s="860"/>
      <c r="G12" s="860"/>
      <c r="H12" s="860"/>
      <c r="I12" s="860"/>
      <c r="J12" s="860"/>
      <c r="K12" s="940"/>
      <c r="L12" s="989"/>
      <c r="M12" s="989"/>
      <c r="N12" s="989"/>
      <c r="O12" s="989"/>
      <c r="P12" s="989"/>
      <c r="Q12" s="989"/>
      <c r="R12" s="989"/>
      <c r="S12" s="989"/>
      <c r="T12" s="989"/>
    </row>
    <row r="13" spans="1:20" x14ac:dyDescent="0.35">
      <c r="A13" s="860"/>
      <c r="B13" s="936" t="s">
        <v>2049</v>
      </c>
      <c r="C13" s="2136">
        <f>+Anagrafica!C11</f>
        <v>0</v>
      </c>
      <c r="D13" s="2136"/>
      <c r="E13" s="860"/>
      <c r="F13" s="937" t="s">
        <v>2133</v>
      </c>
      <c r="G13" s="2136" t="str">
        <f>+IF(OR(Anagrafica!C12="",Anagrafica!E12=""),"",CONCATENATE(Anagrafica!E12," al N° ",Anagrafica!C12))</f>
        <v>Roma al N° 123456</v>
      </c>
      <c r="H13" s="2136"/>
      <c r="I13" s="2136"/>
      <c r="J13" s="2136"/>
      <c r="K13" s="2137"/>
      <c r="L13" s="989"/>
      <c r="M13" s="989"/>
      <c r="N13" s="989"/>
      <c r="O13" s="989"/>
      <c r="P13" s="989"/>
      <c r="Q13" s="989"/>
      <c r="R13" s="989"/>
      <c r="S13" s="989"/>
      <c r="T13" s="989"/>
    </row>
    <row r="14" spans="1:20" x14ac:dyDescent="0.35">
      <c r="A14" s="860"/>
      <c r="B14" s="941"/>
      <c r="C14" s="860"/>
      <c r="D14" s="860"/>
      <c r="E14" s="860"/>
      <c r="F14" s="860"/>
      <c r="G14" s="860"/>
      <c r="H14" s="860"/>
      <c r="I14" s="860"/>
      <c r="J14" s="860"/>
      <c r="K14" s="940"/>
      <c r="L14" s="989"/>
      <c r="M14" s="989"/>
      <c r="N14" s="989"/>
      <c r="O14" s="989"/>
      <c r="P14" s="989"/>
      <c r="Q14" s="989"/>
      <c r="R14" s="989"/>
      <c r="S14" s="989"/>
      <c r="T14" s="989"/>
    </row>
    <row r="15" spans="1:20" x14ac:dyDescent="0.35">
      <c r="A15" s="860"/>
      <c r="B15" s="936" t="s">
        <v>2048</v>
      </c>
      <c r="C15" s="2136" t="str">
        <f>+IF(Anagrafica!C9="","",Anagrafica!C9)</f>
        <v/>
      </c>
      <c r="D15" s="2136"/>
      <c r="E15" s="2136"/>
      <c r="F15" s="2136"/>
      <c r="G15" s="2136"/>
      <c r="H15" s="2136"/>
      <c r="I15" s="2136"/>
      <c r="J15" s="2136"/>
      <c r="K15" s="2137"/>
      <c r="L15" s="989"/>
      <c r="M15" s="989"/>
      <c r="N15" s="989"/>
      <c r="O15" s="989"/>
      <c r="P15" s="989"/>
      <c r="Q15" s="989"/>
      <c r="R15" s="989"/>
      <c r="S15" s="989"/>
      <c r="T15" s="989"/>
    </row>
    <row r="16" spans="1:20" ht="18.5" x14ac:dyDescent="0.35">
      <c r="A16" s="860"/>
      <c r="B16" s="2138" t="s">
        <v>2307</v>
      </c>
      <c r="C16" s="2139"/>
      <c r="D16" s="2139"/>
      <c r="E16" s="2139"/>
      <c r="F16" s="2139"/>
      <c r="G16" s="2139"/>
      <c r="H16" s="2139"/>
      <c r="I16" s="2139"/>
      <c r="J16" s="2139"/>
      <c r="K16" s="2140"/>
      <c r="L16" s="989"/>
      <c r="M16" s="989"/>
      <c r="N16" s="989"/>
      <c r="O16" s="989"/>
      <c r="P16" s="989"/>
      <c r="Q16" s="989"/>
      <c r="R16" s="989"/>
      <c r="S16" s="989"/>
      <c r="T16" s="989"/>
    </row>
    <row r="17" spans="1:20" x14ac:dyDescent="0.35">
      <c r="A17" s="860"/>
      <c r="B17" s="939" t="s">
        <v>2135</v>
      </c>
      <c r="C17" s="942" t="str">
        <f>+IF(F71=0,"",F71)</f>
        <v/>
      </c>
      <c r="D17" s="943" t="s">
        <v>2136</v>
      </c>
      <c r="E17" s="944" t="str">
        <f>+IFERROR(IF(C17="","",C17/K17),"")</f>
        <v/>
      </c>
      <c r="F17" s="860" t="s">
        <v>2191</v>
      </c>
      <c r="G17" s="860"/>
      <c r="H17" s="945"/>
      <c r="I17" s="945"/>
      <c r="J17" s="860"/>
      <c r="K17" s="946" t="str">
        <f>IF(Anagrafica!C38=0,"",Anagrafica!C30)</f>
        <v/>
      </c>
      <c r="L17" s="989"/>
      <c r="M17" s="989"/>
      <c r="N17" s="989"/>
      <c r="O17" s="989"/>
      <c r="P17" s="989"/>
      <c r="Q17" s="989"/>
      <c r="R17" s="989"/>
      <c r="S17" s="989"/>
      <c r="T17" s="989"/>
    </row>
    <row r="18" spans="1:20" x14ac:dyDescent="0.35">
      <c r="A18" s="860"/>
      <c r="B18" s="939" t="s">
        <v>2192</v>
      </c>
      <c r="C18" s="860"/>
      <c r="D18" s="860"/>
      <c r="E18" s="860"/>
      <c r="F18" s="860"/>
      <c r="G18" s="860"/>
      <c r="H18" s="860"/>
      <c r="I18" s="860"/>
      <c r="J18" s="860"/>
      <c r="K18" s="940"/>
      <c r="L18" s="989"/>
      <c r="M18" s="989"/>
      <c r="N18" s="989"/>
      <c r="O18" s="989"/>
      <c r="P18" s="989"/>
      <c r="Q18" s="989"/>
      <c r="R18" s="989"/>
      <c r="S18" s="989"/>
      <c r="T18" s="989"/>
    </row>
    <row r="19" spans="1:20" x14ac:dyDescent="0.35">
      <c r="A19" s="860"/>
      <c r="B19" s="947" t="s">
        <v>2193</v>
      </c>
      <c r="C19" s="948"/>
      <c r="D19" s="948"/>
      <c r="E19" s="949" t="str" cm="1">
        <f t="array" aca="1" ref="E19" ca="1">IFERROR(SUMIFS(Imponibilesal4,Quietanzasal4,"SI"),"")</f>
        <v/>
      </c>
      <c r="F19" s="860"/>
      <c r="G19" s="860"/>
      <c r="H19" s="860"/>
      <c r="I19" s="860"/>
      <c r="J19" s="860"/>
      <c r="K19" s="940"/>
      <c r="L19" s="989"/>
      <c r="M19" s="989"/>
      <c r="N19" s="989"/>
      <c r="O19" s="989"/>
      <c r="P19" s="989"/>
      <c r="Q19" s="989"/>
      <c r="R19" s="989"/>
      <c r="S19" s="989"/>
      <c r="T19" s="989"/>
    </row>
    <row r="20" spans="1:20" x14ac:dyDescent="0.35">
      <c r="A20" s="860"/>
      <c r="B20" s="947" t="s">
        <v>2194</v>
      </c>
      <c r="C20" s="948"/>
      <c r="D20" s="948"/>
      <c r="E20" s="949" t="str" cm="1">
        <f t="array" aca="1" ref="E20" ca="1">IFERROR(SUMIFS(Imponibilesal4,Quietanzasal4,"NO"),"")</f>
        <v/>
      </c>
      <c r="F20" s="2102" t="str">
        <f ca="1">+IFERROR(+IF(E20/K17&gt;30%,"Superato limite del 30% per il 4° SAL previsto dalla normativa",""),"")</f>
        <v/>
      </c>
      <c r="G20" s="2102"/>
      <c r="H20" s="2102"/>
      <c r="I20" s="2102"/>
      <c r="J20" s="2102"/>
      <c r="K20" s="2103"/>
      <c r="L20" s="989"/>
      <c r="M20" s="989"/>
      <c r="N20" s="989"/>
      <c r="O20" s="989"/>
      <c r="P20" s="989"/>
      <c r="Q20" s="989"/>
      <c r="R20" s="989"/>
      <c r="S20" s="989"/>
      <c r="T20" s="989"/>
    </row>
    <row r="21" spans="1:20" x14ac:dyDescent="0.35">
      <c r="A21" s="860"/>
      <c r="B21" s="2144" t="str">
        <f>+CONCATENATE("La somma eventualmente erogata dovrà essere accreditata sul c/c bancario intestato alla Società istituito presso l'istituto di credito ",Anagrafica!C46," - Filiale/Agenzia ",+Anagrafica!C47)</f>
        <v>La somma eventualmente erogata dovrà essere accreditata sul c/c bancario intestato alla Società istituito presso l'istituto di credito BANCA SELLA - Filiale/Agenzia AGENZIA 30</v>
      </c>
      <c r="C21" s="2145"/>
      <c r="D21" s="2145"/>
      <c r="E21" s="2145"/>
      <c r="F21" s="2145"/>
      <c r="G21" s="2145"/>
      <c r="H21" s="2145"/>
      <c r="I21" s="2145"/>
      <c r="J21" s="2145"/>
      <c r="K21" s="2146"/>
      <c r="L21" s="989"/>
      <c r="M21" s="989"/>
      <c r="N21" s="989"/>
      <c r="O21" s="989"/>
      <c r="P21" s="989"/>
      <c r="Q21" s="989"/>
      <c r="R21" s="989"/>
      <c r="S21" s="989"/>
      <c r="T21" s="989"/>
    </row>
    <row r="22" spans="1:20" x14ac:dyDescent="0.35">
      <c r="A22" s="860"/>
      <c r="B22" s="2141" t="str">
        <f>+CONCATENATE("IBAN di riferimento - ",Anagrafica!C50,Anagrafica!D50,Anagrafica!E50,Anagrafica!F50,Anagrafica!G50,Anagrafica!H50)</f>
        <v>IBAN di riferimento - IT</v>
      </c>
      <c r="C22" s="2142"/>
      <c r="D22" s="2142"/>
      <c r="E22" s="2142"/>
      <c r="F22" s="2142"/>
      <c r="G22" s="2142"/>
      <c r="H22" s="2142"/>
      <c r="I22" s="2142"/>
      <c r="J22" s="2142"/>
      <c r="K22" s="2143"/>
      <c r="L22" s="989"/>
      <c r="M22" s="989"/>
      <c r="N22" s="989"/>
      <c r="O22" s="989"/>
      <c r="P22" s="989"/>
      <c r="Q22" s="989"/>
      <c r="R22" s="989"/>
      <c r="S22" s="989"/>
      <c r="T22" s="989"/>
    </row>
    <row r="23" spans="1:20" x14ac:dyDescent="0.35">
      <c r="A23" s="860"/>
      <c r="B23" s="2029" t="s">
        <v>2138</v>
      </c>
      <c r="C23" s="2030"/>
      <c r="D23" s="2030"/>
      <c r="E23" s="2030"/>
      <c r="F23" s="2030"/>
      <c r="G23" s="2030"/>
      <c r="H23" s="2030"/>
      <c r="I23" s="2030"/>
      <c r="J23" s="2030"/>
      <c r="K23" s="2031"/>
      <c r="L23" s="989"/>
      <c r="M23" s="989"/>
      <c r="N23" s="989"/>
      <c r="O23" s="989"/>
      <c r="P23" s="989"/>
      <c r="Q23" s="989"/>
      <c r="R23" s="989"/>
      <c r="S23" s="989"/>
      <c r="T23" s="989"/>
    </row>
    <row r="24" spans="1:20" x14ac:dyDescent="0.35">
      <c r="A24" s="860"/>
      <c r="B24" s="2029"/>
      <c r="C24" s="2030"/>
      <c r="D24" s="2030"/>
      <c r="E24" s="2030"/>
      <c r="F24" s="2030"/>
      <c r="G24" s="2030"/>
      <c r="H24" s="2030"/>
      <c r="I24" s="2030"/>
      <c r="J24" s="2030"/>
      <c r="K24" s="2031"/>
      <c r="L24" s="989"/>
      <c r="M24" s="989"/>
      <c r="N24" s="989"/>
      <c r="O24" s="989"/>
      <c r="P24" s="989"/>
      <c r="Q24" s="989"/>
      <c r="R24" s="989"/>
      <c r="S24" s="989"/>
      <c r="T24" s="989"/>
    </row>
    <row r="25" spans="1:20" ht="15" thickBot="1" x14ac:dyDescent="0.4">
      <c r="A25" s="860"/>
      <c r="B25" s="2032"/>
      <c r="C25" s="2033"/>
      <c r="D25" s="2033"/>
      <c r="E25" s="2033"/>
      <c r="F25" s="2033"/>
      <c r="G25" s="2033"/>
      <c r="H25" s="2033"/>
      <c r="I25" s="2033"/>
      <c r="J25" s="2033"/>
      <c r="K25" s="2034"/>
      <c r="L25" s="989"/>
      <c r="M25" s="989"/>
      <c r="N25" s="989"/>
      <c r="O25" s="989"/>
      <c r="P25" s="989"/>
      <c r="Q25" s="989"/>
      <c r="R25" s="989"/>
      <c r="S25" s="989"/>
      <c r="T25" s="989"/>
    </row>
    <row r="26" spans="1:20" ht="15" thickBot="1" x14ac:dyDescent="0.4">
      <c r="A26" s="860"/>
      <c r="B26" s="860"/>
      <c r="C26" s="860"/>
      <c r="D26" s="860"/>
      <c r="E26" s="860"/>
      <c r="F26" s="860"/>
      <c r="G26" s="860"/>
      <c r="H26" s="860"/>
      <c r="I26" s="860"/>
      <c r="J26" s="860"/>
      <c r="K26" s="860"/>
      <c r="L26" s="989"/>
      <c r="M26" s="989"/>
      <c r="N26" s="989"/>
      <c r="O26" s="989"/>
      <c r="P26" s="989"/>
      <c r="Q26" s="989"/>
      <c r="R26" s="989"/>
      <c r="S26" s="989"/>
      <c r="T26" s="989"/>
    </row>
    <row r="27" spans="1:20" ht="15" thickBot="1" x14ac:dyDescent="0.4">
      <c r="A27" s="860"/>
      <c r="B27" s="2196" t="s">
        <v>2195</v>
      </c>
      <c r="C27" s="1148" t="s">
        <v>564</v>
      </c>
      <c r="D27" s="1149" t="s">
        <v>2140</v>
      </c>
      <c r="E27" s="1149" t="s">
        <v>2141</v>
      </c>
      <c r="F27" s="1149" t="s">
        <v>2142</v>
      </c>
      <c r="G27" s="1149" t="s">
        <v>2143</v>
      </c>
      <c r="H27" s="1149" t="s">
        <v>2144</v>
      </c>
      <c r="I27" s="1150" t="s">
        <v>2145</v>
      </c>
      <c r="J27" s="1151" t="s">
        <v>2146</v>
      </c>
      <c r="K27" s="860"/>
      <c r="L27" s="989"/>
      <c r="M27" s="989"/>
      <c r="N27" s="989"/>
      <c r="O27" s="989"/>
      <c r="P27" s="989"/>
      <c r="Q27" s="989"/>
      <c r="R27" s="989"/>
      <c r="S27" s="989"/>
      <c r="T27" s="989"/>
    </row>
    <row r="28" spans="1:20" ht="15" thickBot="1" x14ac:dyDescent="0.4">
      <c r="A28" s="860"/>
      <c r="B28" s="2197"/>
      <c r="C28" s="899" t="s">
        <v>2080</v>
      </c>
      <c r="D28" s="900"/>
      <c r="E28" s="1163">
        <v>20</v>
      </c>
      <c r="F28" s="900"/>
      <c r="G28" s="900"/>
      <c r="H28" s="900" t="s">
        <v>2148</v>
      </c>
      <c r="I28" s="1141"/>
      <c r="J28" s="901"/>
      <c r="K28" s="860"/>
      <c r="L28" s="989"/>
      <c r="M28" s="989"/>
      <c r="N28" s="989"/>
      <c r="O28" s="989"/>
      <c r="P28" s="989"/>
      <c r="Q28" s="989"/>
      <c r="R28" s="989"/>
      <c r="S28" s="989"/>
      <c r="T28" s="989"/>
    </row>
    <row r="29" spans="1:20" ht="15" thickBot="1" x14ac:dyDescent="0.4">
      <c r="A29" s="860"/>
      <c r="B29" s="2198"/>
      <c r="C29" s="899" t="s">
        <v>2196</v>
      </c>
      <c r="D29" s="900"/>
      <c r="E29" s="1163">
        <v>20</v>
      </c>
      <c r="F29" s="900"/>
      <c r="G29" s="900"/>
      <c r="H29" s="900" t="s">
        <v>2148</v>
      </c>
      <c r="I29" s="1141"/>
      <c r="J29" s="901"/>
      <c r="K29" s="860"/>
      <c r="L29" s="989"/>
      <c r="M29" s="989"/>
      <c r="N29" s="989"/>
      <c r="O29" s="989"/>
      <c r="P29" s="989"/>
      <c r="Q29" s="989"/>
      <c r="R29" s="989"/>
      <c r="S29" s="989"/>
      <c r="T29" s="989"/>
    </row>
    <row r="30" spans="1:20" ht="15" thickBot="1" x14ac:dyDescent="0.4">
      <c r="A30" s="860"/>
      <c r="B30" s="860"/>
      <c r="C30" s="860"/>
      <c r="D30" s="860"/>
      <c r="E30" s="860"/>
      <c r="F30" s="860"/>
      <c r="G30" s="860"/>
      <c r="H30" s="860"/>
      <c r="I30" s="860"/>
      <c r="J30" s="860"/>
      <c r="K30" s="860"/>
      <c r="L30" s="989"/>
      <c r="M30" s="989"/>
      <c r="N30" s="989"/>
      <c r="O30" s="989"/>
      <c r="P30" s="989"/>
      <c r="Q30" s="989"/>
      <c r="R30" s="989"/>
      <c r="S30" s="989"/>
      <c r="T30" s="989"/>
    </row>
    <row r="31" spans="1:20" ht="15" thickBot="1" x14ac:dyDescent="0.4">
      <c r="A31" s="860"/>
      <c r="B31" s="2003" t="s">
        <v>2149</v>
      </c>
      <c r="C31" s="2004"/>
      <c r="D31" s="2004"/>
      <c r="E31" s="2004"/>
      <c r="F31" s="2004"/>
      <c r="G31" s="2004"/>
      <c r="H31" s="2004"/>
      <c r="I31" s="2005"/>
      <c r="J31" s="860"/>
      <c r="K31" s="860"/>
      <c r="L31" s="989"/>
      <c r="M31" s="989"/>
      <c r="N31" s="989"/>
      <c r="O31" s="989"/>
      <c r="P31" s="989"/>
      <c r="Q31" s="989"/>
      <c r="R31" s="989"/>
      <c r="S31" s="989"/>
      <c r="T31" s="989"/>
    </row>
    <row r="32" spans="1:20" ht="15" thickBot="1" x14ac:dyDescent="0.4">
      <c r="A32" s="860"/>
      <c r="B32" s="1985" t="s">
        <v>2150</v>
      </c>
      <c r="C32" s="1986"/>
      <c r="D32" s="1986"/>
      <c r="E32" s="1986"/>
      <c r="F32" s="1123" t="s">
        <v>2151</v>
      </c>
      <c r="G32" s="2000" t="s">
        <v>574</v>
      </c>
      <c r="H32" s="2001"/>
      <c r="I32" s="2002"/>
      <c r="J32" s="860"/>
      <c r="K32" s="860"/>
      <c r="L32" s="989"/>
      <c r="M32" s="989"/>
      <c r="N32" s="989"/>
      <c r="O32" s="989"/>
      <c r="P32" s="989"/>
      <c r="Q32" s="989"/>
      <c r="R32" s="989"/>
      <c r="S32" s="989"/>
      <c r="T32" s="989"/>
    </row>
    <row r="33" spans="1:20" x14ac:dyDescent="0.35">
      <c r="A33" s="860"/>
      <c r="B33" s="2006" t="str">
        <f>+IF(Anagrafica!$H$6="Società di capitali","ANT 1 - Dichiarazione e Certificato Antimafia Società","ANT 2- Dichiarazione e Certificato Antimafia Cooperative")</f>
        <v>ANT 2- Dichiarazione e Certificato Antimafia Cooperative</v>
      </c>
      <c r="C33" s="2007"/>
      <c r="D33" s="2007"/>
      <c r="E33" s="2008"/>
      <c r="F33" s="1127"/>
      <c r="G33" s="2009"/>
      <c r="H33" s="2010"/>
      <c r="I33" s="2011"/>
      <c r="J33" s="860"/>
      <c r="K33" s="860"/>
      <c r="L33" s="989"/>
      <c r="M33" s="989"/>
      <c r="N33" s="989"/>
      <c r="O33" s="989"/>
      <c r="P33" s="989"/>
      <c r="Q33" s="989"/>
      <c r="R33" s="989"/>
      <c r="S33" s="989"/>
      <c r="T33" s="989"/>
    </row>
    <row r="34" spans="1:20" ht="15" thickBot="1" x14ac:dyDescent="0.4">
      <c r="A34" s="860"/>
      <c r="B34" s="1991" t="s">
        <v>2152</v>
      </c>
      <c r="C34" s="1992"/>
      <c r="D34" s="1992"/>
      <c r="E34" s="1993"/>
      <c r="F34" s="1128"/>
      <c r="G34" s="1994"/>
      <c r="H34" s="1995"/>
      <c r="I34" s="1996"/>
      <c r="J34" s="860"/>
      <c r="K34" s="860"/>
      <c r="L34" s="989"/>
      <c r="M34" s="989"/>
      <c r="N34" s="989"/>
      <c r="O34" s="989"/>
      <c r="P34" s="989"/>
      <c r="Q34" s="989"/>
      <c r="R34" s="989"/>
      <c r="S34" s="989"/>
      <c r="T34" s="989"/>
    </row>
    <row r="35" spans="1:20" ht="15" thickBot="1" x14ac:dyDescent="0.4">
      <c r="A35" s="860"/>
      <c r="B35" s="1997" t="s">
        <v>2153</v>
      </c>
      <c r="C35" s="1998"/>
      <c r="D35" s="1998"/>
      <c r="E35" s="1998"/>
      <c r="F35" s="1998"/>
      <c r="G35" s="1998"/>
      <c r="H35" s="1998"/>
      <c r="I35" s="1999"/>
      <c r="J35" s="860"/>
      <c r="K35" s="860"/>
      <c r="L35" s="989"/>
      <c r="M35" s="989"/>
      <c r="N35" s="989"/>
      <c r="O35" s="989"/>
      <c r="P35" s="989"/>
      <c r="Q35" s="989"/>
      <c r="R35" s="989"/>
      <c r="S35" s="989"/>
      <c r="T35" s="989"/>
    </row>
    <row r="36" spans="1:20" x14ac:dyDescent="0.35">
      <c r="A36" s="860"/>
      <c r="B36" s="2119" t="s">
        <v>2154</v>
      </c>
      <c r="C36" s="2120"/>
      <c r="D36" s="2120"/>
      <c r="E36" s="2121"/>
      <c r="F36" s="1161" t="s">
        <v>2151</v>
      </c>
      <c r="G36" s="2122" t="s">
        <v>574</v>
      </c>
      <c r="H36" s="2123"/>
      <c r="I36" s="2124"/>
      <c r="J36" s="860"/>
      <c r="K36" s="860"/>
      <c r="L36" s="989"/>
      <c r="M36" s="989"/>
      <c r="N36" s="989"/>
      <c r="O36" s="989"/>
      <c r="P36" s="989"/>
      <c r="Q36" s="989"/>
      <c r="R36" s="989"/>
      <c r="S36" s="989"/>
      <c r="T36" s="989"/>
    </row>
    <row r="37" spans="1:20" ht="15" thickBot="1" x14ac:dyDescent="0.4">
      <c r="A37" s="860"/>
      <c r="B37" s="2125" t="s">
        <v>2080</v>
      </c>
      <c r="C37" s="2126"/>
      <c r="D37" s="2126"/>
      <c r="E37" s="2127"/>
      <c r="F37" s="1162"/>
      <c r="G37" s="2128"/>
      <c r="H37" s="2129"/>
      <c r="I37" s="2130"/>
      <c r="J37" s="860"/>
      <c r="K37" s="860"/>
      <c r="L37" s="989"/>
      <c r="M37" s="989"/>
      <c r="N37" s="989"/>
      <c r="O37" s="989"/>
      <c r="P37" s="989"/>
      <c r="Q37" s="989"/>
      <c r="R37" s="989"/>
      <c r="S37" s="989"/>
      <c r="T37" s="989"/>
    </row>
    <row r="38" spans="1:20" ht="15.75" customHeight="1" thickBot="1" x14ac:dyDescent="0.4">
      <c r="A38" s="860"/>
      <c r="B38" s="2131" t="s">
        <v>2197</v>
      </c>
      <c r="C38" s="2132"/>
      <c r="D38" s="2132"/>
      <c r="E38" s="2132"/>
      <c r="F38" s="1142"/>
      <c r="G38" s="1983"/>
      <c r="H38" s="1983"/>
      <c r="I38" s="1984"/>
      <c r="J38" s="860"/>
      <c r="K38" s="860"/>
      <c r="L38" s="989"/>
      <c r="M38" s="989"/>
      <c r="N38" s="989"/>
      <c r="O38" s="989"/>
      <c r="P38" s="989"/>
      <c r="Q38" s="989"/>
      <c r="R38" s="989"/>
      <c r="S38" s="989"/>
      <c r="T38" s="989"/>
    </row>
    <row r="39" spans="1:20" ht="15" thickBot="1" x14ac:dyDescent="0.4">
      <c r="A39" s="860"/>
      <c r="B39" s="1129" t="s">
        <v>2156</v>
      </c>
      <c r="C39" s="1130"/>
      <c r="D39" s="1130"/>
      <c r="E39" s="1130"/>
      <c r="F39" s="1130"/>
      <c r="G39" s="1130"/>
      <c r="H39" s="1130"/>
      <c r="I39" s="1131"/>
      <c r="J39" s="860"/>
      <c r="K39" s="860"/>
      <c r="L39" s="989"/>
      <c r="M39" s="989"/>
      <c r="N39" s="989"/>
      <c r="O39" s="989"/>
      <c r="P39" s="989"/>
      <c r="Q39" s="989"/>
      <c r="R39" s="989"/>
      <c r="S39" s="989"/>
      <c r="T39" s="989"/>
    </row>
    <row r="40" spans="1:20" ht="15" thickBot="1" x14ac:dyDescent="0.4">
      <c r="A40" s="860"/>
      <c r="B40" s="1985" t="s">
        <v>2157</v>
      </c>
      <c r="C40" s="1986"/>
      <c r="D40" s="1986"/>
      <c r="E40" s="1987"/>
      <c r="F40" s="1124" t="s">
        <v>2151</v>
      </c>
      <c r="G40" s="2000" t="s">
        <v>574</v>
      </c>
      <c r="H40" s="2001"/>
      <c r="I40" s="2002"/>
      <c r="J40" s="860"/>
      <c r="K40" s="860"/>
      <c r="L40" s="989"/>
      <c r="M40" s="989"/>
      <c r="N40" s="989"/>
      <c r="O40" s="989"/>
      <c r="P40" s="989"/>
      <c r="Q40" s="989"/>
      <c r="R40" s="989"/>
      <c r="S40" s="989"/>
      <c r="T40" s="989"/>
    </row>
    <row r="41" spans="1:20" x14ac:dyDescent="0.35">
      <c r="A41" s="860"/>
      <c r="B41" s="2012" t="s">
        <v>2158</v>
      </c>
      <c r="C41" s="2013"/>
      <c r="D41" s="2013"/>
      <c r="E41" s="2014"/>
      <c r="F41" s="1125"/>
      <c r="G41" s="2015"/>
      <c r="H41" s="2016"/>
      <c r="I41" s="2017"/>
      <c r="J41" s="860"/>
      <c r="K41" s="860"/>
      <c r="L41" s="989"/>
      <c r="M41" s="989"/>
      <c r="N41" s="989"/>
      <c r="O41" s="989"/>
      <c r="P41" s="989"/>
      <c r="Q41" s="989"/>
      <c r="R41" s="989"/>
      <c r="S41" s="989"/>
      <c r="T41" s="989"/>
    </row>
    <row r="42" spans="1:20" x14ac:dyDescent="0.35">
      <c r="A42" s="860"/>
      <c r="B42" s="2211" t="s">
        <v>2198</v>
      </c>
      <c r="C42" s="2212"/>
      <c r="D42" s="2212"/>
      <c r="E42" s="2213"/>
      <c r="F42" s="1126"/>
      <c r="G42" s="2214"/>
      <c r="H42" s="2215"/>
      <c r="I42" s="2216"/>
      <c r="J42" s="860"/>
      <c r="K42" s="860"/>
      <c r="L42" s="989"/>
      <c r="M42" s="989"/>
      <c r="N42" s="989"/>
      <c r="O42" s="989"/>
      <c r="P42" s="989"/>
      <c r="Q42" s="989"/>
      <c r="R42" s="989"/>
      <c r="S42" s="989"/>
      <c r="T42" s="989"/>
    </row>
    <row r="43" spans="1:20" x14ac:dyDescent="0.35">
      <c r="A43" s="860"/>
      <c r="B43" s="2211" t="s">
        <v>2159</v>
      </c>
      <c r="C43" s="2212"/>
      <c r="D43" s="2212"/>
      <c r="E43" s="2213"/>
      <c r="F43" s="1126"/>
      <c r="G43" s="2214"/>
      <c r="H43" s="2215"/>
      <c r="I43" s="2216"/>
      <c r="J43" s="860"/>
      <c r="K43" s="860"/>
      <c r="L43" s="989"/>
      <c r="M43" s="989"/>
      <c r="N43" s="989"/>
      <c r="O43" s="989"/>
      <c r="P43" s="989"/>
      <c r="Q43" s="989"/>
      <c r="R43" s="989"/>
      <c r="S43" s="989"/>
      <c r="T43" s="989"/>
    </row>
    <row r="44" spans="1:20" x14ac:dyDescent="0.35">
      <c r="A44" s="860"/>
      <c r="B44" s="2211" t="s">
        <v>2199</v>
      </c>
      <c r="C44" s="2212"/>
      <c r="D44" s="2212"/>
      <c r="E44" s="2213"/>
      <c r="F44" s="1126"/>
      <c r="G44" s="2214"/>
      <c r="H44" s="2215"/>
      <c r="I44" s="2216"/>
      <c r="J44" s="860"/>
      <c r="K44" s="860"/>
      <c r="L44" s="989"/>
      <c r="M44" s="989"/>
      <c r="N44" s="989"/>
      <c r="O44" s="989"/>
      <c r="P44" s="989"/>
      <c r="Q44" s="989"/>
      <c r="R44" s="989"/>
      <c r="S44" s="989"/>
      <c r="T44" s="989"/>
    </row>
    <row r="45" spans="1:20" ht="15" thickBot="1" x14ac:dyDescent="0.4">
      <c r="A45" s="860"/>
      <c r="B45" s="2018" t="s">
        <v>2200</v>
      </c>
      <c r="C45" s="2019"/>
      <c r="D45" s="2019"/>
      <c r="E45" s="2020"/>
      <c r="F45" s="1132"/>
      <c r="G45" s="1994"/>
      <c r="H45" s="1995"/>
      <c r="I45" s="1996"/>
      <c r="J45" s="860"/>
      <c r="K45" s="860"/>
      <c r="L45" s="989"/>
      <c r="M45" s="989"/>
      <c r="N45" s="989"/>
      <c r="O45" s="989"/>
      <c r="P45" s="989"/>
      <c r="Q45" s="989"/>
      <c r="R45" s="989"/>
      <c r="S45" s="989"/>
      <c r="T45" s="989"/>
    </row>
    <row r="46" spans="1:20" ht="15" thickBot="1" x14ac:dyDescent="0.4">
      <c r="A46" s="860"/>
      <c r="B46" s="2003" t="s">
        <v>2160</v>
      </c>
      <c r="C46" s="2004"/>
      <c r="D46" s="2004"/>
      <c r="E46" s="2004"/>
      <c r="F46" s="2004"/>
      <c r="G46" s="2004"/>
      <c r="H46" s="2004"/>
      <c r="I46" s="2005"/>
      <c r="J46" s="860"/>
      <c r="K46" s="860"/>
      <c r="L46" s="989"/>
      <c r="M46" s="989"/>
      <c r="N46" s="989"/>
      <c r="O46" s="989"/>
      <c r="P46" s="989"/>
      <c r="Q46" s="989"/>
      <c r="R46" s="989"/>
      <c r="S46" s="989"/>
      <c r="T46" s="989"/>
    </row>
    <row r="47" spans="1:20" ht="15" thickBot="1" x14ac:dyDescent="0.4">
      <c r="A47" s="860"/>
      <c r="B47" s="1985" t="s">
        <v>2161</v>
      </c>
      <c r="C47" s="1986"/>
      <c r="D47" s="1986"/>
      <c r="E47" s="1987"/>
      <c r="F47" s="1124" t="s">
        <v>2151</v>
      </c>
      <c r="G47" s="2000" t="s">
        <v>574</v>
      </c>
      <c r="H47" s="2001"/>
      <c r="I47" s="2002"/>
      <c r="J47" s="860"/>
      <c r="K47" s="860"/>
      <c r="L47" s="989"/>
      <c r="M47" s="989"/>
      <c r="N47" s="989"/>
      <c r="O47" s="989"/>
      <c r="P47" s="989"/>
      <c r="Q47" s="989"/>
      <c r="R47" s="989"/>
      <c r="S47" s="989"/>
      <c r="T47" s="989"/>
    </row>
    <row r="48" spans="1:20" ht="35.15" customHeight="1" x14ac:dyDescent="0.35">
      <c r="A48" s="860"/>
      <c r="B48" s="2116" t="s">
        <v>2162</v>
      </c>
      <c r="C48" s="2117"/>
      <c r="D48" s="2117"/>
      <c r="E48" s="2118"/>
      <c r="F48" s="1136"/>
      <c r="G48" s="1133"/>
      <c r="H48" s="1134"/>
      <c r="I48" s="1135"/>
      <c r="J48" s="860"/>
      <c r="K48" s="860"/>
      <c r="L48" s="989"/>
      <c r="M48" s="989"/>
      <c r="N48" s="989"/>
      <c r="O48" s="989"/>
      <c r="P48" s="989"/>
      <c r="Q48" s="989"/>
      <c r="R48" s="989"/>
      <c r="S48" s="989"/>
      <c r="T48" s="989"/>
    </row>
    <row r="49" spans="1:20" ht="35.15" customHeight="1" x14ac:dyDescent="0.35">
      <c r="A49" s="860"/>
      <c r="B49" s="2110" t="s">
        <v>2201</v>
      </c>
      <c r="C49" s="2111"/>
      <c r="D49" s="2111"/>
      <c r="E49" s="2112"/>
      <c r="F49" s="1208"/>
      <c r="G49" s="2107"/>
      <c r="H49" s="2108"/>
      <c r="I49" s="2109"/>
      <c r="J49" s="860"/>
      <c r="K49" s="860"/>
      <c r="L49" s="989"/>
      <c r="M49" s="989"/>
      <c r="N49" s="989"/>
      <c r="O49" s="989"/>
      <c r="P49" s="989"/>
      <c r="Q49" s="989"/>
      <c r="R49" s="989"/>
      <c r="S49" s="989"/>
      <c r="T49" s="989"/>
    </row>
    <row r="50" spans="1:20" ht="35.15" customHeight="1" x14ac:dyDescent="0.35">
      <c r="A50" s="860"/>
      <c r="B50" s="2110" t="s">
        <v>2202</v>
      </c>
      <c r="C50" s="2111"/>
      <c r="D50" s="2111"/>
      <c r="E50" s="2112"/>
      <c r="F50" s="1208"/>
      <c r="G50" s="2107"/>
      <c r="H50" s="2108"/>
      <c r="I50" s="2109"/>
      <c r="J50" s="860"/>
      <c r="K50" s="860"/>
      <c r="L50" s="989"/>
      <c r="M50" s="989"/>
      <c r="N50" s="989"/>
      <c r="O50" s="989"/>
      <c r="P50" s="989"/>
      <c r="Q50" s="989"/>
      <c r="R50" s="989"/>
      <c r="S50" s="989"/>
      <c r="T50" s="989"/>
    </row>
    <row r="51" spans="1:20" ht="35.15" customHeight="1" x14ac:dyDescent="0.35">
      <c r="A51" s="860"/>
      <c r="B51" s="2110" t="s">
        <v>2203</v>
      </c>
      <c r="C51" s="2111"/>
      <c r="D51" s="2111"/>
      <c r="E51" s="2112"/>
      <c r="F51" s="1208"/>
      <c r="G51" s="2107"/>
      <c r="H51" s="2108"/>
      <c r="I51" s="2109"/>
      <c r="J51" s="860"/>
      <c r="K51" s="860"/>
      <c r="L51" s="989"/>
      <c r="M51" s="989"/>
      <c r="N51" s="989"/>
      <c r="O51" s="989"/>
      <c r="P51" s="989"/>
      <c r="Q51" s="989"/>
      <c r="R51" s="989"/>
      <c r="S51" s="989"/>
      <c r="T51" s="989"/>
    </row>
    <row r="52" spans="1:20" ht="35.15" customHeight="1" x14ac:dyDescent="0.35">
      <c r="A52" s="860"/>
      <c r="B52" s="2133" t="s">
        <v>2204</v>
      </c>
      <c r="C52" s="2134"/>
      <c r="D52" s="2134"/>
      <c r="E52" s="2135"/>
      <c r="F52" s="1208"/>
      <c r="G52" s="2107"/>
      <c r="H52" s="2108"/>
      <c r="I52" s="2109"/>
      <c r="J52" s="860"/>
      <c r="K52" s="860"/>
      <c r="L52" s="989"/>
      <c r="M52" s="989"/>
      <c r="N52" s="989"/>
      <c r="O52" s="989"/>
      <c r="P52" s="989"/>
      <c r="Q52" s="989"/>
      <c r="R52" s="989"/>
      <c r="S52" s="989"/>
      <c r="T52" s="989"/>
    </row>
    <row r="53" spans="1:20" ht="42.75" customHeight="1" x14ac:dyDescent="0.35">
      <c r="A53" s="860"/>
      <c r="B53" s="2133" t="s">
        <v>2205</v>
      </c>
      <c r="C53" s="2134"/>
      <c r="D53" s="2134"/>
      <c r="E53" s="2135"/>
      <c r="F53" s="1208"/>
      <c r="G53" s="2107"/>
      <c r="H53" s="2108"/>
      <c r="I53" s="2109"/>
      <c r="J53" s="860"/>
      <c r="K53" s="860"/>
      <c r="L53" s="989"/>
      <c r="M53" s="989"/>
      <c r="N53" s="989"/>
      <c r="O53" s="989"/>
      <c r="P53" s="989"/>
      <c r="Q53" s="989"/>
      <c r="R53" s="989"/>
      <c r="S53" s="989"/>
      <c r="T53" s="989"/>
    </row>
    <row r="54" spans="1:20" ht="42.75" customHeight="1" x14ac:dyDescent="0.35">
      <c r="A54" s="860"/>
      <c r="B54" s="2104" t="s">
        <v>2206</v>
      </c>
      <c r="C54" s="2105"/>
      <c r="D54" s="2105"/>
      <c r="E54" s="2106"/>
      <c r="F54" s="1137"/>
      <c r="G54" s="2107"/>
      <c r="H54" s="2108"/>
      <c r="I54" s="2109"/>
      <c r="J54" s="860"/>
      <c r="K54" s="860"/>
      <c r="L54" s="989"/>
      <c r="M54" s="989"/>
      <c r="N54" s="989"/>
      <c r="O54" s="989"/>
      <c r="P54" s="989"/>
      <c r="Q54" s="989"/>
      <c r="R54" s="989"/>
      <c r="S54" s="989"/>
      <c r="T54" s="989"/>
    </row>
    <row r="55" spans="1:20" ht="35.15" customHeight="1" x14ac:dyDescent="0.35">
      <c r="A55" s="860"/>
      <c r="B55" s="2104" t="s">
        <v>2207</v>
      </c>
      <c r="C55" s="2105"/>
      <c r="D55" s="2105"/>
      <c r="E55" s="2106"/>
      <c r="F55" s="1137"/>
      <c r="G55" s="2107"/>
      <c r="H55" s="2108"/>
      <c r="I55" s="2109"/>
      <c r="J55" s="860"/>
      <c r="K55" s="860"/>
      <c r="L55" s="989"/>
      <c r="M55" s="989"/>
      <c r="N55" s="989"/>
      <c r="O55" s="989"/>
      <c r="P55" s="989"/>
      <c r="Q55" s="989"/>
      <c r="R55" s="989"/>
      <c r="S55" s="989"/>
      <c r="T55" s="989"/>
    </row>
    <row r="56" spans="1:20" ht="35.15" customHeight="1" x14ac:dyDescent="0.35">
      <c r="A56" s="860"/>
      <c r="B56" s="2104" t="s">
        <v>2208</v>
      </c>
      <c r="C56" s="2105"/>
      <c r="D56" s="2105"/>
      <c r="E56" s="2106"/>
      <c r="F56" s="1137"/>
      <c r="G56" s="2107"/>
      <c r="H56" s="2108"/>
      <c r="I56" s="2109"/>
      <c r="J56" s="860"/>
      <c r="K56" s="860"/>
      <c r="L56" s="989"/>
      <c r="M56" s="989"/>
      <c r="N56" s="989"/>
      <c r="O56" s="989"/>
      <c r="P56" s="989"/>
      <c r="Q56" s="989"/>
      <c r="R56" s="989"/>
      <c r="S56" s="989"/>
      <c r="T56" s="989"/>
    </row>
    <row r="57" spans="1:20" ht="35.15" customHeight="1" x14ac:dyDescent="0.35">
      <c r="A57" s="860"/>
      <c r="B57" s="2113" t="s">
        <v>2209</v>
      </c>
      <c r="C57" s="2114"/>
      <c r="D57" s="2114"/>
      <c r="E57" s="2115"/>
      <c r="F57" s="1137"/>
      <c r="G57" s="2107"/>
      <c r="H57" s="2108"/>
      <c r="I57" s="2109"/>
      <c r="J57" s="860"/>
      <c r="K57" s="860"/>
      <c r="L57" s="989"/>
      <c r="M57" s="989"/>
      <c r="N57" s="989"/>
      <c r="O57" s="989"/>
      <c r="P57" s="989"/>
      <c r="Q57" s="989"/>
      <c r="R57" s="989"/>
      <c r="S57" s="989"/>
      <c r="T57" s="989"/>
    </row>
    <row r="58" spans="1:20" ht="46.5" customHeight="1" x14ac:dyDescent="0.35">
      <c r="A58" s="860"/>
      <c r="B58" s="2110" t="s">
        <v>2212</v>
      </c>
      <c r="C58" s="2111"/>
      <c r="D58" s="2111"/>
      <c r="E58" s="2112"/>
      <c r="F58" s="1137"/>
      <c r="G58" s="2107"/>
      <c r="H58" s="2108"/>
      <c r="I58" s="2109"/>
      <c r="J58" s="860"/>
      <c r="K58" s="860"/>
      <c r="L58" s="989"/>
      <c r="M58" s="989"/>
      <c r="N58" s="989"/>
      <c r="O58" s="989"/>
      <c r="P58" s="989"/>
      <c r="Q58" s="989"/>
      <c r="R58" s="989"/>
      <c r="S58" s="989"/>
      <c r="T58" s="989"/>
    </row>
    <row r="59" spans="1:20" ht="117" customHeight="1" x14ac:dyDescent="0.35">
      <c r="A59" s="860"/>
      <c r="B59" s="2110" t="s">
        <v>2270</v>
      </c>
      <c r="C59" s="2111"/>
      <c r="D59" s="2111"/>
      <c r="E59" s="2112"/>
      <c r="F59" s="1137"/>
      <c r="G59" s="2107"/>
      <c r="H59" s="2108"/>
      <c r="I59" s="2109"/>
      <c r="J59" s="860"/>
      <c r="K59" s="860"/>
      <c r="L59" s="989"/>
      <c r="M59" s="989"/>
      <c r="N59" s="989"/>
      <c r="O59" s="989"/>
      <c r="P59" s="989"/>
      <c r="Q59" s="989"/>
      <c r="R59" s="989"/>
      <c r="S59" s="989"/>
      <c r="T59" s="989"/>
    </row>
    <row r="60" spans="1:20" ht="35.15" customHeight="1" x14ac:dyDescent="0.35">
      <c r="A60" s="860"/>
      <c r="B60" s="2110" t="s">
        <v>2214</v>
      </c>
      <c r="C60" s="2111"/>
      <c r="D60" s="2111"/>
      <c r="E60" s="2112"/>
      <c r="F60" s="1137"/>
      <c r="G60" s="2107"/>
      <c r="H60" s="2108"/>
      <c r="I60" s="2109"/>
      <c r="J60" s="860"/>
      <c r="K60" s="860"/>
      <c r="L60" s="989"/>
      <c r="M60" s="989"/>
      <c r="N60" s="989"/>
      <c r="O60" s="989"/>
      <c r="P60" s="989"/>
      <c r="Q60" s="989"/>
      <c r="R60" s="989"/>
      <c r="S60" s="989"/>
      <c r="T60" s="989"/>
    </row>
    <row r="61" spans="1:20" ht="35.15" customHeight="1" thickBot="1" x14ac:dyDescent="0.4">
      <c r="A61" s="860"/>
      <c r="B61" s="2096" t="s">
        <v>2215</v>
      </c>
      <c r="C61" s="2097"/>
      <c r="D61" s="2097"/>
      <c r="E61" s="2098"/>
      <c r="F61" s="1207"/>
      <c r="G61" s="2099"/>
      <c r="H61" s="2100"/>
      <c r="I61" s="2101"/>
      <c r="J61" s="860"/>
      <c r="K61" s="860"/>
      <c r="L61" s="989"/>
      <c r="M61" s="989"/>
      <c r="N61" s="989"/>
      <c r="O61" s="989"/>
      <c r="P61" s="989"/>
      <c r="Q61" s="989"/>
      <c r="R61" s="989"/>
      <c r="S61" s="989"/>
      <c r="T61" s="989"/>
    </row>
    <row r="62" spans="1:20" x14ac:dyDescent="0.35">
      <c r="A62" s="860"/>
      <c r="B62" s="860"/>
      <c r="C62" s="860"/>
      <c r="D62" s="860"/>
      <c r="E62" s="860"/>
      <c r="F62" s="860"/>
      <c r="G62" s="860"/>
      <c r="H62" s="860"/>
      <c r="I62" s="860"/>
      <c r="J62" s="860"/>
      <c r="K62" s="860"/>
      <c r="L62" s="989"/>
      <c r="M62" s="989"/>
      <c r="N62" s="989"/>
      <c r="O62" s="989"/>
      <c r="P62" s="989"/>
      <c r="Q62" s="989"/>
      <c r="R62" s="989"/>
      <c r="S62" s="989"/>
      <c r="T62" s="989"/>
    </row>
    <row r="63" spans="1:20" ht="15" thickBot="1" x14ac:dyDescent="0.4">
      <c r="A63" s="860"/>
      <c r="B63" s="860"/>
      <c r="C63" s="860"/>
      <c r="D63" s="860"/>
      <c r="E63" s="860"/>
      <c r="F63" s="860"/>
      <c r="G63" s="860"/>
      <c r="H63" s="860"/>
      <c r="I63" s="860"/>
      <c r="J63" s="860"/>
      <c r="K63" s="860"/>
      <c r="L63" s="989"/>
      <c r="M63" s="989"/>
      <c r="N63" s="989"/>
      <c r="O63" s="989"/>
      <c r="P63" s="989"/>
      <c r="Q63" s="989"/>
      <c r="R63" s="989"/>
      <c r="S63" s="989"/>
      <c r="T63" s="989"/>
    </row>
    <row r="64" spans="1:20" ht="15" thickBot="1" x14ac:dyDescent="0.4">
      <c r="A64" s="860"/>
      <c r="B64" s="2163" t="s">
        <v>2308</v>
      </c>
      <c r="C64" s="2164"/>
      <c r="D64" s="2164"/>
      <c r="E64" s="2164"/>
      <c r="F64" s="2164"/>
      <c r="G64" s="2164"/>
      <c r="H64" s="2164"/>
      <c r="I64" s="2164"/>
      <c r="J64" s="2164"/>
      <c r="K64" s="2164"/>
      <c r="L64" s="2164"/>
      <c r="M64" s="2164"/>
      <c r="N64" s="2164"/>
      <c r="O64" s="2164"/>
      <c r="P64" s="2164"/>
      <c r="Q64" s="2164"/>
      <c r="R64" s="2164"/>
      <c r="S64" s="2164"/>
      <c r="T64" s="2165"/>
    </row>
    <row r="65" spans="1:20" x14ac:dyDescent="0.35">
      <c r="A65" s="860"/>
      <c r="B65" s="950" t="s">
        <v>2217</v>
      </c>
      <c r="C65" s="860"/>
      <c r="D65" s="860"/>
      <c r="E65" s="860"/>
      <c r="F65" s="860"/>
      <c r="G65" s="860"/>
      <c r="H65" s="860"/>
      <c r="I65" s="860"/>
      <c r="J65" s="860"/>
      <c r="K65" s="860"/>
      <c r="L65" s="989"/>
      <c r="M65" s="989"/>
      <c r="N65" s="989"/>
      <c r="O65" s="989"/>
      <c r="P65" s="989"/>
      <c r="Q65" s="989"/>
      <c r="R65" s="989"/>
      <c r="S65" s="989"/>
      <c r="T65" s="989"/>
    </row>
    <row r="66" spans="1:20" x14ac:dyDescent="0.35">
      <c r="A66" s="860"/>
      <c r="B66" s="951" t="e">
        <f>+CONCATENATE("Il valore minimo rendicontabile per è pari ad € ",TEXT(K17*0.1,"#.##0,00")," ed il valore delle fatture non quietanzate non può essere superiore ad € ",TEXT(K17*0.2,"#.##0,00"))</f>
        <v>#VALUE!</v>
      </c>
      <c r="C66" s="951"/>
      <c r="D66" s="951"/>
      <c r="E66" s="951"/>
      <c r="F66" s="951"/>
      <c r="G66" s="951"/>
      <c r="H66" s="951"/>
      <c r="I66" s="951"/>
      <c r="J66" s="951"/>
      <c r="K66" s="951"/>
      <c r="L66" s="989"/>
      <c r="M66" s="989"/>
      <c r="N66" s="989"/>
      <c r="O66" s="989"/>
      <c r="P66" s="989"/>
      <c r="Q66" s="989"/>
      <c r="R66" s="989"/>
      <c r="S66" s="989"/>
      <c r="T66" s="989"/>
    </row>
    <row r="67" spans="1:20" ht="15" thickBot="1" x14ac:dyDescent="0.4">
      <c r="A67" s="860"/>
      <c r="B67" s="950"/>
      <c r="C67" s="860"/>
      <c r="D67" s="860"/>
      <c r="E67" s="860"/>
      <c r="F67" s="860"/>
      <c r="G67" s="860"/>
      <c r="H67" s="860"/>
      <c r="I67" s="860"/>
      <c r="J67" s="860"/>
      <c r="K67" s="860"/>
      <c r="L67" s="989"/>
      <c r="M67" s="989"/>
      <c r="N67" s="989"/>
      <c r="O67" s="989"/>
      <c r="P67" s="989"/>
      <c r="Q67" s="989"/>
      <c r="R67" s="989"/>
      <c r="S67" s="989"/>
      <c r="T67" s="989"/>
    </row>
    <row r="68" spans="1:20" ht="23.5" thickBot="1" x14ac:dyDescent="0.4">
      <c r="A68" s="860"/>
      <c r="B68" s="993" t="s">
        <v>2218</v>
      </c>
      <c r="C68" s="952" t="s">
        <v>2219</v>
      </c>
      <c r="D68" s="952" t="s">
        <v>2220</v>
      </c>
      <c r="E68" s="952" t="s">
        <v>2221</v>
      </c>
      <c r="F68" s="952" t="s">
        <v>2222</v>
      </c>
      <c r="G68" s="952" t="s">
        <v>2223</v>
      </c>
      <c r="H68" s="974" t="s">
        <v>2224</v>
      </c>
      <c r="I68" s="974" t="s">
        <v>2225</v>
      </c>
      <c r="J68" s="994" t="s">
        <v>2067</v>
      </c>
      <c r="K68" s="952" t="s">
        <v>2226</v>
      </c>
      <c r="L68" s="974" t="s">
        <v>2069</v>
      </c>
      <c r="M68" s="974" t="s">
        <v>2227</v>
      </c>
      <c r="N68" s="974" t="s">
        <v>2228</v>
      </c>
      <c r="O68" s="974" t="s">
        <v>2229</v>
      </c>
      <c r="P68" s="974" t="s">
        <v>2230</v>
      </c>
      <c r="Q68" s="974" t="s">
        <v>2231</v>
      </c>
      <c r="R68" s="2180" t="s">
        <v>574</v>
      </c>
      <c r="S68" s="2181"/>
    </row>
    <row r="69" spans="1:20" ht="26.25" customHeight="1" x14ac:dyDescent="0.35">
      <c r="A69" s="860"/>
      <c r="B69" s="953"/>
      <c r="C69" s="954"/>
      <c r="D69" s="955"/>
      <c r="E69" s="954"/>
      <c r="F69" s="957">
        <v>0</v>
      </c>
      <c r="G69" s="956"/>
      <c r="H69" s="1020"/>
      <c r="I69" s="985"/>
      <c r="J69" s="1059" t="s">
        <v>579</v>
      </c>
      <c r="K69" s="995">
        <v>0</v>
      </c>
      <c r="L69" s="985">
        <v>0</v>
      </c>
      <c r="M69" s="985"/>
      <c r="N69" s="985"/>
      <c r="O69" s="985"/>
      <c r="P69" s="985"/>
      <c r="Q69" s="985"/>
      <c r="R69" s="2188"/>
      <c r="S69" s="2189"/>
    </row>
    <row r="70" spans="1:20" ht="35.25" customHeight="1" thickBot="1" x14ac:dyDescent="0.4">
      <c r="A70" s="860"/>
      <c r="B70" s="963"/>
      <c r="C70" s="964"/>
      <c r="D70" s="965"/>
      <c r="E70" s="964"/>
      <c r="F70" s="967">
        <v>0</v>
      </c>
      <c r="G70" s="966"/>
      <c r="H70" s="1023"/>
      <c r="I70" s="987"/>
      <c r="J70" s="1062" t="s">
        <v>578</v>
      </c>
      <c r="K70" s="996">
        <v>0</v>
      </c>
      <c r="L70" s="987">
        <v>0</v>
      </c>
      <c r="M70" s="987"/>
      <c r="N70" s="987"/>
      <c r="O70" s="987"/>
      <c r="P70" s="987"/>
      <c r="Q70" s="987"/>
      <c r="R70" s="2192"/>
      <c r="S70" s="2193"/>
    </row>
    <row r="71" spans="1:20" ht="15" thickBot="1" x14ac:dyDescent="0.4">
      <c r="A71" s="860"/>
      <c r="B71" s="968"/>
      <c r="C71" s="969"/>
      <c r="D71" s="969"/>
      <c r="E71" s="981"/>
      <c r="F71" s="1029">
        <f>SUM(F69:F70)</f>
        <v>0</v>
      </c>
      <c r="G71" s="1029"/>
      <c r="H71" s="1030"/>
      <c r="I71" s="1030"/>
      <c r="J71" s="974"/>
      <c r="K71" s="1029">
        <f>+SUM(K69:K70)</f>
        <v>0</v>
      </c>
      <c r="L71" s="1030">
        <f>+SUM(L69:L70)</f>
        <v>0</v>
      </c>
      <c r="M71" s="991"/>
      <c r="N71" s="991"/>
      <c r="O71" s="991"/>
      <c r="P71" s="991"/>
      <c r="Q71" s="991"/>
      <c r="R71" s="2178"/>
      <c r="S71" s="2179"/>
    </row>
    <row r="72" spans="1:20" x14ac:dyDescent="0.35">
      <c r="A72" s="860"/>
      <c r="B72" s="860"/>
      <c r="C72" s="860"/>
      <c r="D72" s="860"/>
      <c r="E72" s="860"/>
      <c r="F72" s="860"/>
      <c r="G72" s="860"/>
      <c r="H72" s="860"/>
      <c r="I72" s="860"/>
      <c r="J72" s="860"/>
      <c r="K72" s="860"/>
      <c r="L72" s="989"/>
      <c r="M72" s="989"/>
      <c r="N72" s="989"/>
      <c r="O72" s="989"/>
      <c r="P72" s="989"/>
      <c r="Q72" s="989"/>
      <c r="R72" s="989"/>
      <c r="S72" s="989"/>
      <c r="T72" s="989"/>
    </row>
    <row r="73" spans="1:20" ht="15" thickBot="1" x14ac:dyDescent="0.4">
      <c r="A73" s="860"/>
      <c r="B73" s="998" t="s">
        <v>2232</v>
      </c>
      <c r="C73" s="860"/>
      <c r="D73" s="860"/>
      <c r="E73" s="860"/>
      <c r="F73" s="860"/>
      <c r="G73" s="860"/>
      <c r="H73" s="860"/>
      <c r="I73" s="860"/>
      <c r="J73" s="860"/>
      <c r="K73" s="860"/>
      <c r="L73" s="989"/>
      <c r="M73" s="989"/>
      <c r="N73" s="989"/>
      <c r="O73" s="989"/>
      <c r="P73" s="989"/>
      <c r="Q73" s="989"/>
      <c r="R73" s="989"/>
      <c r="S73" s="989"/>
      <c r="T73" s="989"/>
    </row>
    <row r="74" spans="1:20" x14ac:dyDescent="0.35">
      <c r="A74" s="860"/>
      <c r="B74" s="2169"/>
      <c r="C74" s="2170"/>
      <c r="D74" s="2170"/>
      <c r="E74" s="2170"/>
      <c r="F74" s="2170"/>
      <c r="G74" s="2170"/>
      <c r="H74" s="2170"/>
      <c r="I74" s="2170"/>
      <c r="J74" s="2170"/>
      <c r="K74" s="2170"/>
      <c r="L74" s="2170"/>
      <c r="M74" s="2170"/>
      <c r="N74" s="2170"/>
      <c r="O74" s="2170"/>
      <c r="P74" s="2170"/>
      <c r="Q74" s="2170"/>
      <c r="R74" s="2170"/>
      <c r="S74" s="2171"/>
      <c r="T74" s="989"/>
    </row>
    <row r="75" spans="1:20" x14ac:dyDescent="0.35">
      <c r="A75" s="860"/>
      <c r="B75" s="2172"/>
      <c r="C75" s="2173"/>
      <c r="D75" s="2173"/>
      <c r="E75" s="2173"/>
      <c r="F75" s="2173"/>
      <c r="G75" s="2173"/>
      <c r="H75" s="2173"/>
      <c r="I75" s="2173"/>
      <c r="J75" s="2173"/>
      <c r="K75" s="2173"/>
      <c r="L75" s="2173"/>
      <c r="M75" s="2173"/>
      <c r="N75" s="2173"/>
      <c r="O75" s="2173"/>
      <c r="P75" s="2173"/>
      <c r="Q75" s="2173"/>
      <c r="R75" s="2173"/>
      <c r="S75" s="2174"/>
      <c r="T75" s="989"/>
    </row>
    <row r="76" spans="1:20" x14ac:dyDescent="0.35">
      <c r="A76" s="860"/>
      <c r="B76" s="2172"/>
      <c r="C76" s="2173"/>
      <c r="D76" s="2173"/>
      <c r="E76" s="2173"/>
      <c r="F76" s="2173"/>
      <c r="G76" s="2173"/>
      <c r="H76" s="2173"/>
      <c r="I76" s="2173"/>
      <c r="J76" s="2173"/>
      <c r="K76" s="2173"/>
      <c r="L76" s="2173"/>
      <c r="M76" s="2173"/>
      <c r="N76" s="2173"/>
      <c r="O76" s="2173"/>
      <c r="P76" s="2173"/>
      <c r="Q76" s="2173"/>
      <c r="R76" s="2173"/>
      <c r="S76" s="2174"/>
      <c r="T76" s="989"/>
    </row>
    <row r="77" spans="1:20" x14ac:dyDescent="0.35">
      <c r="A77" s="860"/>
      <c r="B77" s="2172"/>
      <c r="C77" s="2173"/>
      <c r="D77" s="2173"/>
      <c r="E77" s="2173"/>
      <c r="F77" s="2173"/>
      <c r="G77" s="2173"/>
      <c r="H77" s="2173"/>
      <c r="I77" s="2173"/>
      <c r="J77" s="2173"/>
      <c r="K77" s="2173"/>
      <c r="L77" s="2173"/>
      <c r="M77" s="2173"/>
      <c r="N77" s="2173"/>
      <c r="O77" s="2173"/>
      <c r="P77" s="2173"/>
      <c r="Q77" s="2173"/>
      <c r="R77" s="2173"/>
      <c r="S77" s="2174"/>
      <c r="T77" s="989"/>
    </row>
    <row r="78" spans="1:20" ht="15" thickBot="1" x14ac:dyDescent="0.4">
      <c r="A78" s="860"/>
      <c r="B78" s="2166"/>
      <c r="C78" s="2167"/>
      <c r="D78" s="2167"/>
      <c r="E78" s="2167"/>
      <c r="F78" s="2167"/>
      <c r="G78" s="2167"/>
      <c r="H78" s="2167"/>
      <c r="I78" s="2167"/>
      <c r="J78" s="2167"/>
      <c r="K78" s="2167"/>
      <c r="L78" s="2167"/>
      <c r="M78" s="2167"/>
      <c r="N78" s="2167"/>
      <c r="O78" s="2167"/>
      <c r="P78" s="2167"/>
      <c r="Q78" s="2167"/>
      <c r="R78" s="2167"/>
      <c r="S78" s="2168"/>
      <c r="T78" s="989"/>
    </row>
    <row r="79" spans="1:20" ht="15" thickBot="1" x14ac:dyDescent="0.4">
      <c r="A79" s="860"/>
      <c r="B79" s="860"/>
      <c r="C79" s="860"/>
      <c r="D79" s="860"/>
      <c r="E79" s="860"/>
      <c r="F79" s="860"/>
      <c r="G79" s="860"/>
      <c r="H79" s="860"/>
      <c r="I79" s="860"/>
      <c r="J79" s="860"/>
      <c r="K79" s="860"/>
      <c r="L79" s="989"/>
      <c r="M79" s="989"/>
      <c r="N79" s="989"/>
      <c r="O79" s="989"/>
      <c r="P79" s="989"/>
      <c r="Q79" s="989"/>
      <c r="R79" s="989"/>
      <c r="S79" s="989"/>
      <c r="T79" s="989"/>
    </row>
    <row r="80" spans="1:20" ht="15" thickBot="1" x14ac:dyDescent="0.4">
      <c r="A80" s="860"/>
      <c r="B80" s="970" t="s">
        <v>2233</v>
      </c>
      <c r="C80" s="971"/>
      <c r="D80" s="972"/>
      <c r="E80" s="973" t="s">
        <v>1563</v>
      </c>
      <c r="F80" s="1031" t="str">
        <f>+IF(AND(E80="Si",Anagrafica!$C$31=0),"Non è prevista la spesa per capitale circolante netto","")</f>
        <v/>
      </c>
      <c r="G80" s="860"/>
      <c r="H80" s="860"/>
      <c r="I80" s="860"/>
      <c r="J80" s="860"/>
      <c r="K80" s="860"/>
      <c r="L80" s="989"/>
      <c r="M80" s="989"/>
      <c r="N80" s="989"/>
      <c r="O80" s="989"/>
      <c r="P80" s="989"/>
      <c r="Q80" s="989"/>
      <c r="R80" s="989"/>
      <c r="S80" s="989"/>
      <c r="T80" s="989"/>
    </row>
    <row r="81" spans="1:20" ht="15" thickBot="1" x14ac:dyDescent="0.4">
      <c r="A81" s="860"/>
      <c r="B81" s="2175" t="s">
        <v>2234</v>
      </c>
      <c r="C81" s="2176"/>
      <c r="D81" s="2177"/>
      <c r="E81" s="1026"/>
      <c r="F81" s="860"/>
      <c r="G81" s="860"/>
      <c r="H81" s="860"/>
      <c r="I81" s="860"/>
      <c r="J81" s="860"/>
      <c r="K81" s="860"/>
      <c r="L81" s="989"/>
      <c r="M81" s="989"/>
      <c r="N81" s="989"/>
      <c r="O81" s="989"/>
      <c r="P81" s="989"/>
      <c r="Q81" s="989"/>
      <c r="R81" s="989"/>
      <c r="S81" s="989"/>
      <c r="T81" s="989"/>
    </row>
    <row r="82" spans="1:20" ht="15" thickBot="1" x14ac:dyDescent="0.4">
      <c r="A82" s="860"/>
      <c r="B82" s="2175" t="s">
        <v>2235</v>
      </c>
      <c r="C82" s="2176"/>
      <c r="D82" s="2177"/>
      <c r="E82" s="1120">
        <f>+IF($E$80="NO",0,IF(E81&lt;=L71*0.2,E81,(E81/F71)*L71))</f>
        <v>0</v>
      </c>
      <c r="F82" s="860"/>
      <c r="G82" s="860"/>
      <c r="H82" s="860"/>
      <c r="I82" s="860"/>
      <c r="J82" s="860"/>
      <c r="K82" s="860"/>
      <c r="L82" s="989"/>
      <c r="M82" s="989"/>
      <c r="N82" s="989"/>
      <c r="O82" s="989"/>
      <c r="P82" s="989"/>
      <c r="Q82" s="989"/>
      <c r="R82" s="989"/>
      <c r="S82" s="989"/>
      <c r="T82" s="989"/>
    </row>
    <row r="83" spans="1:20" x14ac:dyDescent="0.35">
      <c r="A83" s="860"/>
      <c r="B83" s="860"/>
      <c r="C83" s="860"/>
      <c r="D83" s="860"/>
      <c r="E83" s="860"/>
      <c r="F83" s="860"/>
      <c r="G83" s="860"/>
      <c r="H83" s="860"/>
      <c r="I83" s="860"/>
      <c r="J83" s="860"/>
      <c r="K83" s="989"/>
      <c r="L83" s="989"/>
      <c r="M83" s="989"/>
      <c r="N83" s="989"/>
      <c r="O83" s="989"/>
      <c r="P83" s="989"/>
      <c r="Q83" s="989"/>
      <c r="R83" s="989"/>
      <c r="S83" s="989"/>
      <c r="T83" s="989"/>
    </row>
    <row r="84" spans="1:20" ht="15" thickBot="1" x14ac:dyDescent="0.4">
      <c r="A84" s="860"/>
      <c r="B84" s="950" t="s">
        <v>2236</v>
      </c>
      <c r="C84" s="860"/>
      <c r="D84" s="860"/>
      <c r="E84" s="860"/>
      <c r="F84" s="860"/>
      <c r="G84" s="860"/>
      <c r="H84" s="860"/>
      <c r="I84" s="860"/>
      <c r="J84" s="860"/>
      <c r="K84" s="989"/>
      <c r="L84" s="989"/>
      <c r="M84" s="989"/>
      <c r="N84" s="989"/>
      <c r="O84" s="989"/>
      <c r="P84" s="989"/>
      <c r="Q84" s="989"/>
      <c r="R84" s="989"/>
      <c r="S84" s="989"/>
      <c r="T84" s="989"/>
    </row>
    <row r="85" spans="1:20" ht="23.5" thickBot="1" x14ac:dyDescent="0.4">
      <c r="A85" s="860"/>
      <c r="B85" s="993" t="s">
        <v>2218</v>
      </c>
      <c r="C85" s="952" t="s">
        <v>2219</v>
      </c>
      <c r="D85" s="952" t="s">
        <v>2220</v>
      </c>
      <c r="E85" s="974" t="s">
        <v>2237</v>
      </c>
      <c r="F85" s="952" t="s">
        <v>2238</v>
      </c>
      <c r="G85" s="974" t="s">
        <v>2239</v>
      </c>
      <c r="H85" s="974" t="s">
        <v>2240</v>
      </c>
      <c r="I85" s="974" t="s">
        <v>2241</v>
      </c>
      <c r="J85" s="2180" t="s">
        <v>574</v>
      </c>
      <c r="K85" s="2181"/>
      <c r="L85" s="989"/>
      <c r="M85" s="989"/>
      <c r="N85" s="989"/>
      <c r="O85" s="989"/>
      <c r="P85" s="989"/>
      <c r="Q85" s="989"/>
      <c r="R85" s="989"/>
      <c r="S85" s="989"/>
      <c r="T85" s="989"/>
    </row>
    <row r="86" spans="1:20" x14ac:dyDescent="0.35">
      <c r="A86" s="860"/>
      <c r="B86" s="953"/>
      <c r="C86" s="954"/>
      <c r="D86" s="955"/>
      <c r="E86" s="975"/>
      <c r="F86" s="954"/>
      <c r="G86" s="980"/>
      <c r="H86" s="980"/>
      <c r="I86" s="980"/>
      <c r="J86" s="2182"/>
      <c r="K86" s="2183"/>
      <c r="L86" s="989"/>
      <c r="M86" s="989"/>
      <c r="N86" s="989"/>
      <c r="O86" s="989"/>
      <c r="P86" s="989"/>
      <c r="Q86" s="989"/>
      <c r="R86" s="989"/>
      <c r="S86" s="989"/>
      <c r="T86" s="989"/>
    </row>
    <row r="87" spans="1:20" x14ac:dyDescent="0.35">
      <c r="A87" s="860"/>
      <c r="B87" s="958"/>
      <c r="C87" s="959"/>
      <c r="D87" s="960"/>
      <c r="E87" s="976"/>
      <c r="F87" s="992"/>
      <c r="G87" s="959"/>
      <c r="H87" s="959"/>
      <c r="I87" s="959"/>
      <c r="J87" s="2184"/>
      <c r="K87" s="2185"/>
      <c r="L87" s="989"/>
      <c r="M87" s="989"/>
      <c r="N87" s="989"/>
      <c r="O87" s="989"/>
      <c r="P87" s="989"/>
      <c r="Q87" s="989"/>
      <c r="R87" s="989"/>
      <c r="S87" s="989"/>
      <c r="T87" s="989"/>
    </row>
    <row r="88" spans="1:20" ht="15" thickBot="1" x14ac:dyDescent="0.4">
      <c r="A88" s="860"/>
      <c r="B88" s="963"/>
      <c r="C88" s="964"/>
      <c r="D88" s="965"/>
      <c r="E88" s="977"/>
      <c r="F88" s="964"/>
      <c r="G88" s="984"/>
      <c r="H88" s="984"/>
      <c r="I88" s="984"/>
      <c r="J88" s="2186"/>
      <c r="K88" s="2187"/>
      <c r="L88" s="989"/>
      <c r="M88" s="989"/>
      <c r="N88" s="989"/>
      <c r="O88" s="989"/>
      <c r="P88" s="989"/>
      <c r="Q88" s="989"/>
      <c r="R88" s="989"/>
      <c r="S88" s="989"/>
      <c r="T88" s="989"/>
    </row>
    <row r="89" spans="1:20" ht="15" thickBot="1" x14ac:dyDescent="0.4">
      <c r="A89" s="860"/>
      <c r="B89" s="968"/>
      <c r="C89" s="969"/>
      <c r="D89" s="981"/>
      <c r="E89" s="982">
        <f>SUM(E86:E88)</f>
        <v>0</v>
      </c>
      <c r="F89" s="983"/>
      <c r="G89" s="981"/>
      <c r="H89" s="981"/>
      <c r="I89" s="981"/>
      <c r="J89" s="2180"/>
      <c r="K89" s="2181"/>
      <c r="L89" s="989"/>
      <c r="M89" s="989"/>
      <c r="N89" s="989"/>
      <c r="O89" s="989"/>
      <c r="P89" s="989"/>
      <c r="Q89" s="989"/>
      <c r="R89" s="989"/>
      <c r="S89" s="989"/>
      <c r="T89" s="989"/>
    </row>
    <row r="90" spans="1:20" x14ac:dyDescent="0.35">
      <c r="A90" s="860"/>
      <c r="B90" s="860"/>
      <c r="C90" s="860"/>
      <c r="D90" s="860"/>
      <c r="E90" s="860"/>
      <c r="F90" s="860"/>
      <c r="G90" s="860"/>
      <c r="H90" s="860"/>
      <c r="I90" s="860"/>
      <c r="J90" s="860"/>
      <c r="K90" s="860"/>
      <c r="L90" s="989"/>
      <c r="M90" s="989"/>
      <c r="N90" s="989"/>
      <c r="O90" s="989"/>
      <c r="P90" s="989"/>
      <c r="Q90" s="989"/>
      <c r="R90" s="989"/>
      <c r="S90" s="989"/>
      <c r="T90" s="989"/>
    </row>
    <row r="91" spans="1:20" ht="15" thickBot="1" x14ac:dyDescent="0.4">
      <c r="A91" s="860"/>
      <c r="B91" s="998" t="s">
        <v>2232</v>
      </c>
      <c r="C91" s="860"/>
      <c r="D91" s="860"/>
      <c r="E91" s="860"/>
      <c r="F91" s="860"/>
      <c r="G91" s="860"/>
      <c r="H91" s="860"/>
      <c r="I91" s="860"/>
      <c r="J91" s="860"/>
      <c r="K91" s="860"/>
      <c r="L91" s="989"/>
      <c r="M91" s="989"/>
      <c r="N91" s="989"/>
      <c r="O91" s="989"/>
      <c r="P91" s="989"/>
      <c r="Q91" s="989"/>
      <c r="R91" s="989"/>
      <c r="S91" s="989"/>
      <c r="T91" s="989"/>
    </row>
    <row r="92" spans="1:20" x14ac:dyDescent="0.35">
      <c r="A92" s="860"/>
      <c r="B92" s="2169"/>
      <c r="C92" s="2170"/>
      <c r="D92" s="2170"/>
      <c r="E92" s="2170"/>
      <c r="F92" s="2170"/>
      <c r="G92" s="2170"/>
      <c r="H92" s="2170"/>
      <c r="I92" s="2170"/>
      <c r="J92" s="2170"/>
      <c r="K92" s="2171"/>
      <c r="L92" s="989"/>
      <c r="M92" s="989"/>
      <c r="N92" s="989"/>
      <c r="O92" s="989"/>
      <c r="P92" s="989"/>
      <c r="Q92" s="989"/>
      <c r="R92" s="989"/>
      <c r="S92" s="989"/>
      <c r="T92" s="989"/>
    </row>
    <row r="93" spans="1:20" x14ac:dyDescent="0.35">
      <c r="A93" s="860"/>
      <c r="B93" s="2172"/>
      <c r="C93" s="2173"/>
      <c r="D93" s="2173"/>
      <c r="E93" s="2173"/>
      <c r="F93" s="2173"/>
      <c r="G93" s="2173"/>
      <c r="H93" s="2173"/>
      <c r="I93" s="2173"/>
      <c r="J93" s="2173"/>
      <c r="K93" s="2174"/>
      <c r="L93" s="989"/>
      <c r="M93" s="989"/>
      <c r="N93" s="989"/>
      <c r="O93" s="989"/>
      <c r="P93" s="989"/>
      <c r="Q93" s="989"/>
      <c r="R93" s="989"/>
      <c r="S93" s="989"/>
      <c r="T93" s="989"/>
    </row>
    <row r="94" spans="1:20" x14ac:dyDescent="0.35">
      <c r="A94" s="860"/>
      <c r="B94" s="2172"/>
      <c r="C94" s="2173"/>
      <c r="D94" s="2173"/>
      <c r="E94" s="2173"/>
      <c r="F94" s="2173"/>
      <c r="G94" s="2173"/>
      <c r="H94" s="2173"/>
      <c r="I94" s="2173"/>
      <c r="J94" s="2173"/>
      <c r="K94" s="2174"/>
      <c r="L94" s="989"/>
      <c r="M94" s="989"/>
      <c r="N94" s="989"/>
      <c r="O94" s="989"/>
      <c r="P94" s="989"/>
      <c r="Q94" s="989"/>
      <c r="R94" s="989"/>
      <c r="S94" s="989"/>
      <c r="T94" s="989"/>
    </row>
    <row r="95" spans="1:20" ht="15" thickBot="1" x14ac:dyDescent="0.4">
      <c r="A95" s="860"/>
      <c r="B95" s="2166"/>
      <c r="C95" s="2167"/>
      <c r="D95" s="2167"/>
      <c r="E95" s="2167"/>
      <c r="F95" s="2167"/>
      <c r="G95" s="2167"/>
      <c r="H95" s="2167"/>
      <c r="I95" s="2167"/>
      <c r="J95" s="2167"/>
      <c r="K95" s="2168"/>
      <c r="L95" s="989"/>
      <c r="M95" s="989"/>
      <c r="N95" s="989"/>
      <c r="O95" s="989"/>
      <c r="P95" s="989"/>
      <c r="Q95" s="989"/>
      <c r="R95" s="989"/>
      <c r="S95" s="989"/>
      <c r="T95" s="989"/>
    </row>
    <row r="96" spans="1:20" x14ac:dyDescent="0.35">
      <c r="A96" s="860"/>
      <c r="B96" s="978" t="s">
        <v>2242</v>
      </c>
      <c r="C96" s="860"/>
      <c r="D96" s="860"/>
      <c r="E96" s="860"/>
      <c r="F96" s="860"/>
      <c r="G96" s="860"/>
      <c r="H96" s="860"/>
      <c r="I96" s="860"/>
      <c r="J96" s="860"/>
      <c r="K96" s="860"/>
      <c r="L96" s="989"/>
      <c r="M96" s="989"/>
      <c r="N96" s="989"/>
      <c r="O96" s="989"/>
      <c r="P96" s="989"/>
      <c r="Q96" s="989"/>
      <c r="R96" s="989"/>
      <c r="S96" s="989"/>
      <c r="T96" s="989"/>
    </row>
    <row r="97" spans="1:20" x14ac:dyDescent="0.35">
      <c r="A97" s="860"/>
      <c r="B97" s="978"/>
      <c r="C97" s="860"/>
      <c r="D97" s="860"/>
      <c r="E97" s="860"/>
      <c r="F97" s="860"/>
      <c r="G97" s="860"/>
      <c r="H97" s="860"/>
      <c r="I97" s="860"/>
      <c r="J97" s="860"/>
      <c r="K97" s="860"/>
      <c r="L97" s="989"/>
      <c r="M97" s="989"/>
      <c r="N97" s="989"/>
      <c r="O97" s="989"/>
      <c r="P97" s="989"/>
      <c r="Q97" s="989"/>
      <c r="R97" s="989"/>
      <c r="S97" s="989"/>
      <c r="T97" s="989"/>
    </row>
    <row r="98" spans="1:20" x14ac:dyDescent="0.35">
      <c r="A98" s="860"/>
      <c r="B98" s="950" t="s">
        <v>2271</v>
      </c>
      <c r="C98" s="860"/>
      <c r="D98" s="860"/>
      <c r="E98" s="860"/>
      <c r="F98" s="860"/>
      <c r="G98" s="860"/>
      <c r="H98" s="860"/>
      <c r="I98" s="860"/>
      <c r="J98" s="860"/>
      <c r="K98" s="860"/>
      <c r="L98" s="989"/>
      <c r="M98" s="989"/>
      <c r="N98" s="989"/>
      <c r="O98" s="989"/>
      <c r="P98" s="989"/>
      <c r="Q98" s="989"/>
      <c r="R98" s="989"/>
      <c r="S98" s="989"/>
      <c r="T98" s="989"/>
    </row>
    <row r="99" spans="1:20" x14ac:dyDescent="0.35">
      <c r="A99" s="860"/>
      <c r="B99" s="2229" t="str">
        <f ca="1">+CONCATENATE("Evidenza dell'avvenuto pagamento delle fatture rendicontate nel precedente SAL pari ad €  ",TEXT('3 SAL'!E20,"#.###0,00"),"")</f>
        <v xml:space="preserve">Evidenza dell'avvenuto pagamento delle fatture rendicontate nel precedente SAL pari ad €  </v>
      </c>
      <c r="C99" s="2230"/>
      <c r="D99" s="2230"/>
      <c r="E99" s="2230"/>
      <c r="F99" s="2230"/>
      <c r="G99" s="2230"/>
      <c r="H99" s="2230"/>
      <c r="I99" s="2230"/>
      <c r="J99" s="2230"/>
      <c r="K99" s="2230"/>
      <c r="L99" s="2230"/>
      <c r="M99" s="2230"/>
      <c r="N99" s="2230"/>
      <c r="O99" s="2230"/>
      <c r="P99" s="2230"/>
      <c r="Q99" s="2230"/>
      <c r="R99" s="2230"/>
      <c r="S99" s="2230"/>
      <c r="T99" s="2230"/>
    </row>
    <row r="100" spans="1:20" ht="15" thickBot="1" x14ac:dyDescent="0.4">
      <c r="A100" s="860"/>
      <c r="B100" s="860"/>
      <c r="C100" s="860"/>
      <c r="D100" s="860"/>
      <c r="E100" s="860"/>
      <c r="F100" s="860"/>
      <c r="G100" s="860"/>
      <c r="H100" s="860"/>
      <c r="I100" s="860"/>
      <c r="J100" s="860"/>
      <c r="K100" s="860"/>
      <c r="L100" s="989"/>
      <c r="M100" s="989"/>
      <c r="N100" s="989"/>
      <c r="O100" s="989"/>
      <c r="P100" s="989"/>
      <c r="Q100" s="989"/>
      <c r="R100" s="989"/>
      <c r="S100" s="989"/>
      <c r="T100" s="989"/>
    </row>
    <row r="101" spans="1:20" ht="23.5" thickBot="1" x14ac:dyDescent="0.4">
      <c r="A101" s="860"/>
      <c r="B101" s="993" t="s">
        <v>2218</v>
      </c>
      <c r="C101" s="952" t="s">
        <v>2219</v>
      </c>
      <c r="D101" s="952" t="s">
        <v>2220</v>
      </c>
      <c r="E101" s="974" t="s">
        <v>2237</v>
      </c>
      <c r="F101" s="952" t="s">
        <v>2238</v>
      </c>
      <c r="G101" s="952" t="s">
        <v>2239</v>
      </c>
      <c r="H101" s="1045" t="s">
        <v>2240</v>
      </c>
      <c r="I101" s="974" t="s">
        <v>2241</v>
      </c>
      <c r="J101" s="952" t="s">
        <v>2262</v>
      </c>
      <c r="K101" s="997" t="s">
        <v>574</v>
      </c>
      <c r="L101" s="989"/>
      <c r="M101" s="989"/>
      <c r="N101" s="989"/>
      <c r="O101" s="989"/>
      <c r="P101" s="989"/>
      <c r="Q101" s="989"/>
      <c r="R101" s="989"/>
      <c r="S101" s="989"/>
      <c r="T101" s="989"/>
    </row>
    <row r="102" spans="1:20" x14ac:dyDescent="0.35">
      <c r="A102" s="860"/>
      <c r="B102" s="1034"/>
      <c r="C102" s="1035"/>
      <c r="D102" s="1036"/>
      <c r="E102" s="1037"/>
      <c r="F102" s="1038"/>
      <c r="G102" s="1050"/>
      <c r="H102" s="1046"/>
      <c r="I102" s="980"/>
      <c r="J102" s="980"/>
      <c r="K102" s="1055"/>
      <c r="L102" s="989"/>
      <c r="M102" s="989"/>
      <c r="N102" s="989"/>
      <c r="O102" s="989"/>
      <c r="P102" s="989"/>
      <c r="Q102" s="989"/>
      <c r="R102" s="989"/>
      <c r="S102" s="989"/>
      <c r="T102" s="989"/>
    </row>
    <row r="103" spans="1:20" x14ac:dyDescent="0.35">
      <c r="A103" s="860"/>
      <c r="B103" s="1039"/>
      <c r="C103" s="1040"/>
      <c r="D103" s="1041"/>
      <c r="E103" s="1042"/>
      <c r="F103" s="1043"/>
      <c r="G103" s="1051"/>
      <c r="H103" s="1047"/>
      <c r="I103" s="959"/>
      <c r="J103" s="959"/>
      <c r="K103" s="1056"/>
      <c r="L103" s="989"/>
      <c r="M103" s="989"/>
      <c r="N103" s="989"/>
      <c r="O103" s="989"/>
      <c r="P103" s="989"/>
      <c r="Q103" s="989"/>
      <c r="R103" s="989"/>
      <c r="S103" s="989"/>
      <c r="T103" s="989"/>
    </row>
    <row r="104" spans="1:20" ht="15" thickBot="1" x14ac:dyDescent="0.4">
      <c r="A104" s="860"/>
      <c r="B104" s="1039"/>
      <c r="C104" s="1040"/>
      <c r="D104" s="1041"/>
      <c r="E104" s="1044"/>
      <c r="F104" s="964"/>
      <c r="G104" s="1052"/>
      <c r="H104" s="1048"/>
      <c r="I104" s="984"/>
      <c r="J104" s="984"/>
      <c r="K104" s="1057"/>
      <c r="L104" s="989"/>
      <c r="M104" s="989"/>
      <c r="N104" s="989"/>
      <c r="O104" s="989"/>
      <c r="P104" s="989"/>
      <c r="Q104" s="989"/>
      <c r="R104" s="989"/>
      <c r="S104" s="989"/>
      <c r="T104" s="989"/>
    </row>
    <row r="105" spans="1:20" ht="15" thickBot="1" x14ac:dyDescent="0.4">
      <c r="A105" s="860"/>
      <c r="B105" s="968"/>
      <c r="C105" s="969"/>
      <c r="D105" s="981"/>
      <c r="E105" s="1054">
        <f>SUM(E102:E104)</f>
        <v>0</v>
      </c>
      <c r="F105" s="1053"/>
      <c r="G105" s="969"/>
      <c r="H105" s="1049"/>
      <c r="I105" s="981"/>
      <c r="J105" s="969"/>
      <c r="K105" s="1058"/>
      <c r="L105" s="989"/>
      <c r="M105" s="989"/>
      <c r="N105" s="989"/>
      <c r="O105" s="989"/>
      <c r="P105" s="989"/>
      <c r="Q105" s="989"/>
      <c r="R105" s="989"/>
      <c r="S105" s="989"/>
      <c r="T105" s="989"/>
    </row>
    <row r="106" spans="1:20" x14ac:dyDescent="0.35">
      <c r="A106" s="860"/>
      <c r="B106" s="978"/>
      <c r="C106" s="860"/>
      <c r="D106" s="860"/>
      <c r="E106" s="860"/>
      <c r="F106" s="860"/>
      <c r="G106" s="860"/>
      <c r="H106" s="860"/>
      <c r="I106" s="860"/>
      <c r="J106" s="860"/>
      <c r="K106" s="860"/>
      <c r="L106" s="989"/>
      <c r="M106" s="989"/>
      <c r="N106" s="989"/>
      <c r="O106" s="989"/>
      <c r="P106" s="989"/>
      <c r="Q106" s="989"/>
      <c r="R106" s="989"/>
      <c r="S106" s="989"/>
      <c r="T106" s="989"/>
    </row>
    <row r="107" spans="1:20" ht="15" thickBot="1" x14ac:dyDescent="0.4">
      <c r="A107" s="860"/>
      <c r="B107" s="998" t="s">
        <v>2232</v>
      </c>
      <c r="C107" s="860"/>
      <c r="D107" s="860"/>
      <c r="E107" s="860"/>
      <c r="F107" s="860"/>
      <c r="G107" s="860"/>
      <c r="H107" s="860"/>
      <c r="I107" s="860"/>
      <c r="J107" s="860"/>
      <c r="K107" s="860"/>
      <c r="L107" s="989"/>
      <c r="M107" s="989"/>
      <c r="N107" s="989"/>
      <c r="O107" s="989"/>
      <c r="P107" s="989"/>
      <c r="Q107" s="989"/>
      <c r="R107" s="989"/>
      <c r="S107" s="989"/>
      <c r="T107" s="989"/>
    </row>
    <row r="108" spans="1:20" x14ac:dyDescent="0.35">
      <c r="A108" s="860"/>
      <c r="B108" s="2169"/>
      <c r="C108" s="2170"/>
      <c r="D108" s="2170"/>
      <c r="E108" s="2170"/>
      <c r="F108" s="2170"/>
      <c r="G108" s="2170"/>
      <c r="H108" s="2170"/>
      <c r="I108" s="2170"/>
      <c r="J108" s="2170"/>
      <c r="K108" s="2171"/>
      <c r="L108" s="989"/>
      <c r="M108" s="989"/>
      <c r="N108" s="989"/>
      <c r="O108" s="989"/>
      <c r="P108" s="989"/>
      <c r="Q108" s="989"/>
      <c r="R108" s="989"/>
      <c r="S108" s="989"/>
      <c r="T108" s="989"/>
    </row>
    <row r="109" spans="1:20" x14ac:dyDescent="0.35">
      <c r="A109" s="860"/>
      <c r="B109" s="2172"/>
      <c r="C109" s="2173"/>
      <c r="D109" s="2173"/>
      <c r="E109" s="2173"/>
      <c r="F109" s="2173"/>
      <c r="G109" s="2173"/>
      <c r="H109" s="2173"/>
      <c r="I109" s="2173"/>
      <c r="J109" s="2173"/>
      <c r="K109" s="2174"/>
      <c r="L109" s="989"/>
      <c r="M109" s="989"/>
      <c r="N109" s="989"/>
      <c r="O109" s="989"/>
      <c r="P109" s="989"/>
      <c r="Q109" s="989"/>
      <c r="R109" s="989"/>
      <c r="S109" s="989"/>
      <c r="T109" s="989"/>
    </row>
    <row r="110" spans="1:20" x14ac:dyDescent="0.35">
      <c r="A110" s="860"/>
      <c r="B110" s="2172"/>
      <c r="C110" s="2173"/>
      <c r="D110" s="2173"/>
      <c r="E110" s="2173"/>
      <c r="F110" s="2173"/>
      <c r="G110" s="2173"/>
      <c r="H110" s="2173"/>
      <c r="I110" s="2173"/>
      <c r="J110" s="2173"/>
      <c r="K110" s="2174"/>
      <c r="L110" s="989"/>
      <c r="M110" s="989"/>
      <c r="N110" s="989"/>
      <c r="O110" s="989"/>
      <c r="P110" s="989"/>
      <c r="Q110" s="989"/>
      <c r="R110" s="989"/>
      <c r="S110" s="989"/>
      <c r="T110" s="989"/>
    </row>
    <row r="111" spans="1:20" ht="15" thickBot="1" x14ac:dyDescent="0.4">
      <c r="A111" s="860"/>
      <c r="B111" s="2166"/>
      <c r="C111" s="2167"/>
      <c r="D111" s="2167"/>
      <c r="E111" s="2167"/>
      <c r="F111" s="2167"/>
      <c r="G111" s="2167"/>
      <c r="H111" s="2167"/>
      <c r="I111" s="2167"/>
      <c r="J111" s="2167"/>
      <c r="K111" s="2168"/>
      <c r="L111" s="989"/>
      <c r="M111" s="989"/>
      <c r="N111" s="989"/>
      <c r="O111" s="989"/>
      <c r="P111" s="989"/>
      <c r="Q111" s="989"/>
      <c r="R111" s="989"/>
      <c r="S111" s="989"/>
      <c r="T111" s="989"/>
    </row>
    <row r="112" spans="1:20" x14ac:dyDescent="0.35">
      <c r="A112" s="860"/>
      <c r="B112" s="978"/>
      <c r="C112" s="860"/>
      <c r="D112" s="860"/>
      <c r="E112" s="860"/>
      <c r="F112" s="860"/>
      <c r="G112" s="860"/>
      <c r="H112" s="860"/>
      <c r="I112" s="860"/>
      <c r="J112" s="860"/>
      <c r="K112" s="860"/>
      <c r="L112" s="989"/>
      <c r="M112" s="989"/>
      <c r="N112" s="989"/>
      <c r="O112" s="989"/>
      <c r="P112" s="989"/>
      <c r="Q112" s="989"/>
      <c r="R112" s="989"/>
      <c r="S112" s="989"/>
      <c r="T112" s="989"/>
    </row>
    <row r="113" spans="1:20" x14ac:dyDescent="0.35">
      <c r="A113" s="860"/>
      <c r="B113" s="978"/>
      <c r="C113" s="860"/>
      <c r="D113" s="860"/>
      <c r="E113" s="860"/>
      <c r="F113" s="860"/>
      <c r="G113" s="860"/>
      <c r="H113" s="860"/>
      <c r="I113" s="860"/>
      <c r="J113" s="860"/>
      <c r="K113" s="860"/>
      <c r="L113" s="989"/>
      <c r="M113" s="989"/>
      <c r="N113" s="989"/>
      <c r="O113" s="989"/>
      <c r="P113" s="989"/>
      <c r="Q113" s="989"/>
      <c r="R113" s="989"/>
      <c r="S113" s="989"/>
      <c r="T113" s="989"/>
    </row>
    <row r="114" spans="1:20" x14ac:dyDescent="0.35">
      <c r="A114" s="860"/>
      <c r="B114" s="978"/>
      <c r="C114" s="860"/>
      <c r="D114" s="860"/>
      <c r="E114" s="860"/>
      <c r="F114" s="860"/>
      <c r="G114" s="860"/>
      <c r="H114" s="860"/>
      <c r="I114" s="860"/>
      <c r="J114" s="860"/>
      <c r="K114" s="860"/>
      <c r="L114" s="989"/>
      <c r="M114" s="989"/>
      <c r="N114" s="989"/>
      <c r="O114" s="989"/>
      <c r="P114" s="989"/>
      <c r="Q114" s="989"/>
      <c r="R114" s="989"/>
      <c r="S114" s="989"/>
      <c r="T114" s="989"/>
    </row>
    <row r="115" spans="1:20" x14ac:dyDescent="0.35">
      <c r="A115" s="860"/>
      <c r="B115" s="978"/>
      <c r="C115" s="860"/>
      <c r="D115" s="860"/>
      <c r="E115" s="860"/>
      <c r="F115" s="860"/>
      <c r="G115" s="860"/>
      <c r="H115" s="860"/>
      <c r="I115" s="860"/>
      <c r="J115" s="860"/>
      <c r="K115" s="860"/>
      <c r="L115" s="989"/>
      <c r="M115" s="989"/>
      <c r="N115" s="989"/>
      <c r="O115" s="989"/>
      <c r="P115" s="989"/>
      <c r="Q115" s="989"/>
      <c r="R115" s="989"/>
      <c r="S115" s="989"/>
      <c r="T115" s="989"/>
    </row>
    <row r="116" spans="1:20" ht="15" thickBot="1" x14ac:dyDescent="0.4">
      <c r="A116" s="860"/>
      <c r="B116" s="860"/>
      <c r="C116" s="860"/>
      <c r="D116" s="860"/>
      <c r="E116" s="860"/>
      <c r="F116" s="860"/>
      <c r="G116" s="860"/>
      <c r="H116" s="860"/>
      <c r="I116" s="860"/>
      <c r="J116" s="860"/>
      <c r="K116" s="860"/>
      <c r="L116" s="989"/>
      <c r="M116" s="989"/>
      <c r="N116" s="989"/>
      <c r="O116" s="989"/>
      <c r="P116" s="989"/>
      <c r="Q116" s="989"/>
      <c r="R116" s="989"/>
      <c r="S116" s="989"/>
      <c r="T116" s="989"/>
    </row>
    <row r="117" spans="1:20" ht="15" thickBot="1" x14ac:dyDescent="0.4">
      <c r="A117" s="860"/>
      <c r="B117" s="2163" t="s">
        <v>2273</v>
      </c>
      <c r="C117" s="2164"/>
      <c r="D117" s="2164"/>
      <c r="E117" s="2164"/>
      <c r="F117" s="2164"/>
      <c r="G117" s="2164"/>
      <c r="H117" s="2164"/>
      <c r="I117" s="2164"/>
      <c r="J117" s="2164"/>
      <c r="K117" s="2164"/>
      <c r="L117" s="2164"/>
      <c r="M117" s="2164"/>
      <c r="N117" s="2164"/>
      <c r="O117" s="2164"/>
      <c r="P117" s="2164"/>
      <c r="Q117" s="2164"/>
      <c r="R117" s="2164"/>
      <c r="S117" s="2164"/>
      <c r="T117" s="2165"/>
    </row>
    <row r="118" spans="1:20" x14ac:dyDescent="0.35">
      <c r="A118" s="988"/>
      <c r="B118" s="988"/>
      <c r="C118" s="988"/>
      <c r="D118" s="988"/>
      <c r="E118" s="988"/>
      <c r="F118" s="988"/>
      <c r="G118" s="988"/>
      <c r="H118" s="988"/>
      <c r="I118" s="988"/>
      <c r="J118" s="988"/>
      <c r="K118" s="988"/>
      <c r="L118" s="989"/>
      <c r="M118" s="989"/>
      <c r="N118" s="989"/>
      <c r="O118" s="989"/>
      <c r="P118" s="989"/>
      <c r="Q118" s="989"/>
      <c r="R118" s="989"/>
      <c r="S118" s="989"/>
      <c r="T118" s="989"/>
    </row>
    <row r="119" spans="1:20" x14ac:dyDescent="0.35">
      <c r="A119" s="989"/>
      <c r="B119" s="990" t="s">
        <v>2244</v>
      </c>
      <c r="C119" s="989"/>
      <c r="D119" s="989"/>
      <c r="E119" s="989"/>
      <c r="F119" s="989"/>
      <c r="G119" s="989"/>
      <c r="H119" s="989"/>
      <c r="I119" s="989"/>
      <c r="J119" s="989"/>
      <c r="K119" s="989"/>
      <c r="L119" s="989"/>
      <c r="M119" s="989"/>
      <c r="N119" s="989"/>
      <c r="O119" s="989"/>
      <c r="P119" s="989"/>
      <c r="Q119" s="989"/>
      <c r="R119" s="989"/>
      <c r="S119" s="989"/>
      <c r="T119" s="989"/>
    </row>
    <row r="120" spans="1:20" x14ac:dyDescent="0.35">
      <c r="A120" s="989"/>
      <c r="B120" s="989"/>
      <c r="C120" s="989"/>
      <c r="D120" s="989"/>
      <c r="E120" s="989"/>
      <c r="F120" s="989"/>
      <c r="G120" s="989"/>
      <c r="H120" s="989"/>
      <c r="I120" s="989"/>
      <c r="J120" s="989"/>
      <c r="K120" s="989"/>
      <c r="L120" s="989"/>
      <c r="M120" s="989"/>
      <c r="N120" s="989"/>
      <c r="O120" s="989"/>
      <c r="P120" s="989"/>
      <c r="Q120" s="989"/>
      <c r="R120" s="989"/>
      <c r="S120" s="989"/>
      <c r="T120" s="989"/>
    </row>
    <row r="121" spans="1:20" ht="15" thickBot="1" x14ac:dyDescent="0.4">
      <c r="A121" s="989"/>
      <c r="B121" s="989"/>
      <c r="C121" s="989"/>
      <c r="D121" s="989"/>
      <c r="E121" s="989"/>
      <c r="F121" s="989"/>
      <c r="G121" s="989"/>
      <c r="H121" s="989"/>
      <c r="I121" s="989"/>
      <c r="J121" s="989"/>
      <c r="K121" s="989"/>
      <c r="L121" s="989"/>
      <c r="M121" s="989"/>
      <c r="N121" s="989"/>
      <c r="O121" s="989"/>
      <c r="P121" s="989"/>
      <c r="Q121" s="989"/>
      <c r="R121" s="989"/>
      <c r="S121" s="989"/>
      <c r="T121" s="989"/>
    </row>
    <row r="122" spans="1:20" ht="15" thickBot="1" x14ac:dyDescent="0.4">
      <c r="A122" s="989"/>
      <c r="B122" s="989"/>
      <c r="C122" s="2202" t="s">
        <v>2245</v>
      </c>
      <c r="D122" s="2203"/>
      <c r="E122" s="2204" t="s">
        <v>2246</v>
      </c>
      <c r="F122" s="2205"/>
      <c r="G122" s="2205"/>
      <c r="H122" s="2205"/>
      <c r="I122" s="2206"/>
      <c r="J122" s="989"/>
      <c r="K122" s="989"/>
      <c r="L122" s="989"/>
      <c r="M122" s="989"/>
      <c r="N122" s="989"/>
      <c r="O122" s="989"/>
      <c r="P122" s="989"/>
      <c r="Q122" s="989"/>
      <c r="R122" s="989"/>
      <c r="S122" s="989"/>
      <c r="T122" s="989"/>
    </row>
    <row r="123" spans="1:20" ht="23.5" thickBot="1" x14ac:dyDescent="0.4">
      <c r="A123" s="989"/>
      <c r="B123" s="869" t="s">
        <v>2067</v>
      </c>
      <c r="C123" s="999" t="s">
        <v>2068</v>
      </c>
      <c r="D123" s="1001" t="s">
        <v>2069</v>
      </c>
      <c r="E123" s="999" t="s">
        <v>2247</v>
      </c>
      <c r="F123" s="1000" t="s">
        <v>2226</v>
      </c>
      <c r="G123" s="1025" t="s">
        <v>2069</v>
      </c>
      <c r="H123" s="1000" t="s">
        <v>2248</v>
      </c>
      <c r="I123" s="1081" t="s">
        <v>2249</v>
      </c>
      <c r="J123" s="1081" t="s">
        <v>2250</v>
      </c>
      <c r="K123" s="989"/>
      <c r="L123" s="989"/>
      <c r="M123" s="989"/>
      <c r="N123" s="989"/>
      <c r="O123" s="989"/>
      <c r="P123" s="989"/>
      <c r="Q123" s="989"/>
      <c r="R123" s="989"/>
      <c r="S123" s="989"/>
      <c r="T123" s="989"/>
    </row>
    <row r="124" spans="1:20" ht="38.25" customHeight="1" x14ac:dyDescent="0.35">
      <c r="A124" s="989"/>
      <c r="B124" s="873" t="str">
        <f>+IF(Anagrafica!$G$2="Capo II","Opere murarie e assimilate","Acquisto immobile sede dell'attività")</f>
        <v>Acquisto immobile sede dell'attività</v>
      </c>
      <c r="C124" s="1063">
        <f ca="1">+Anagrafica!I30</f>
        <v>0</v>
      </c>
      <c r="D124" s="1079">
        <f ca="1">+Anagrafica!J30</f>
        <v>0</v>
      </c>
      <c r="E124" s="1085" cm="1">
        <f t="array" aca="1" ref="E124" ca="1">+SUMIF(Categoriesal4,B124,Imponibilesal4)</f>
        <v>0</v>
      </c>
      <c r="F124" s="1064" cm="1">
        <f t="array" aca="1" ref="F124" ca="1">+SUMIF(Categoriesal4,B124,Realizzatosal4)</f>
        <v>0</v>
      </c>
      <c r="G124" s="1064" cm="1">
        <f t="array" aca="1" ref="G124" ca="1">+SUMIF(Categoriesal4,B124,Ammessosal4)</f>
        <v>0</v>
      </c>
      <c r="H124" s="1064" t="str">
        <f ca="1">IFERROR(+G124*Anagrafica!F38,"")</f>
        <v/>
      </c>
      <c r="I124" s="1086">
        <v>0</v>
      </c>
      <c r="J124" s="1082" t="e">
        <f ca="1">+IF(C124-F124-'1 SAL'!F110-'2 SAL'!F126-'3 SAL'!F129&lt;0,0,C124-F124-'1 SAL'!F110-'2 SAL'!F126-'3 SAL'!F129)</f>
        <v>#REF!</v>
      </c>
      <c r="K124" s="989"/>
      <c r="L124" s="1018"/>
      <c r="M124" s="989"/>
      <c r="N124" s="989"/>
      <c r="O124" s="989"/>
      <c r="P124" s="989"/>
      <c r="Q124" s="989"/>
      <c r="S124" s="989"/>
      <c r="T124" s="989"/>
    </row>
    <row r="125" spans="1:20" ht="41.25" customHeight="1" x14ac:dyDescent="0.35">
      <c r="A125" s="989"/>
      <c r="B125" s="874" t="str">
        <f>+IF(Anagrafica!$G$2="Capo II","Macchinari, impianti ed attrezzature","Opere murarie e assimilate")</f>
        <v>Opere murarie e assimilate</v>
      </c>
      <c r="C125" s="1066">
        <f ca="1">+Anagrafica!I31</f>
        <v>0</v>
      </c>
      <c r="D125" s="1065">
        <f>+Anagrafica!J31</f>
        <v>0</v>
      </c>
      <c r="E125" s="1085" cm="1">
        <f t="array" aca="1" ref="E125" ca="1">+SUMIF(Categoriesal4,B125,Imponibilesal4)</f>
        <v>0</v>
      </c>
      <c r="F125" s="1066" cm="1">
        <f t="array" aca="1" ref="F125" ca="1">+SUMIF(Categoriesal4,B125,Realizzatosal4)</f>
        <v>0</v>
      </c>
      <c r="G125" s="1066" cm="1">
        <f t="array" aca="1" ref="G125" ca="1">+SUMIF(Categoriesal4,B125,Ammessosal4)</f>
        <v>0</v>
      </c>
      <c r="H125" s="1066" t="e">
        <f ca="1">+IF(Anagrafica!$G$2="Capo II",(G125*Anagrafica!$F$38-I125),G125*Anagrafica!$F$38)</f>
        <v>#DIV/0!</v>
      </c>
      <c r="I125" s="1065">
        <f ca="1">+IFERROR((G125/'Calcolo contributo CAPO II'!$C$23)*Anagrafica!$C$37,0)</f>
        <v>0</v>
      </c>
      <c r="J125" s="1082" t="e">
        <f ca="1">+IF(C125-F125-'1 SAL'!F111-'2 SAL'!F127-'3 SAL'!F130&lt;0,0,C125-F125-'1 SAL'!F111-'2 SAL'!F127-'3 SAL'!F130)</f>
        <v>#REF!</v>
      </c>
      <c r="K125" s="1018"/>
      <c r="L125" s="1019"/>
      <c r="M125" s="989"/>
      <c r="N125" s="989"/>
      <c r="O125" s="989"/>
      <c r="P125" s="989"/>
      <c r="Q125" s="989"/>
      <c r="R125" s="989"/>
      <c r="S125" s="989"/>
      <c r="T125" s="989"/>
    </row>
    <row r="126" spans="1:20" ht="70.5" customHeight="1" x14ac:dyDescent="0.35">
      <c r="A126" s="989"/>
      <c r="B126" s="875" t="str">
        <f>+IF(Anagrafica!$G$2="Capo II","Programmi informatici e servizi per le tecnologie dell’informazione e della comunicazione","Macchinari, impianti ed attrezzature")</f>
        <v>Macchinari, impianti ed attrezzature</v>
      </c>
      <c r="C126" s="1066">
        <f ca="1">+Anagrafica!I32</f>
        <v>10000</v>
      </c>
      <c r="D126" s="1065">
        <f>+Anagrafica!J32</f>
        <v>0</v>
      </c>
      <c r="E126" s="1085" cm="1">
        <f t="array" aca="1" ref="E126" ca="1">+SUMIF(Categoriesal4,B126,Imponibilesal4)</f>
        <v>0</v>
      </c>
      <c r="F126" s="1066" cm="1">
        <f t="array" aca="1" ref="F126" ca="1">+SUMIF(Categoriesal4,B126,Realizzatosal4)</f>
        <v>0</v>
      </c>
      <c r="G126" s="1066" cm="1">
        <f t="array" aca="1" ref="G126" ca="1">+SUMIF(Categoriesal4,B126,Ammessosal4)</f>
        <v>0</v>
      </c>
      <c r="H126" s="1066" t="e">
        <f ca="1">+(G126*Anagrafica!$F$38-I126)</f>
        <v>#DIV/0!</v>
      </c>
      <c r="I126" s="1065" t="e">
        <f ca="1">IF(Anagrafica!$G$2="Capo II",(G126/'Calcolo contributo CAPO II'!$C$23)*Anagrafica!$C$37,G126/(GBER!$C$11+GBER!$C$13)*Anagrafica!$C$37)</f>
        <v>#DIV/0!</v>
      </c>
      <c r="J126" s="1082" t="e">
        <f ca="1">+IF(C126-F126-'1 SAL'!F112-'2 SAL'!F128-'3 SAL'!F131&lt;0,0,C126-F126-'1 SAL'!F112-'2 SAL'!F128-'3 SAL'!F131)</f>
        <v>#REF!</v>
      </c>
      <c r="K126" s="1018"/>
      <c r="L126" s="1018"/>
      <c r="M126" s="1018"/>
      <c r="N126" s="1018"/>
      <c r="O126" s="989"/>
      <c r="P126" s="989"/>
      <c r="Q126" s="989"/>
      <c r="R126" s="1018"/>
      <c r="S126" s="989"/>
      <c r="T126" s="989"/>
    </row>
    <row r="127" spans="1:20" ht="45.75" customHeight="1" x14ac:dyDescent="0.35">
      <c r="A127" s="989"/>
      <c r="B127" s="875" t="str">
        <f>+IF(Anagrafica!$G$2="Capo II","Acquisto di brevetti o acquisizione di relative licenze d’uso","Programmi informatici, brevetti, licenze e marchi")</f>
        <v>Programmi informatici, brevetti, licenze e marchi</v>
      </c>
      <c r="C127" s="1066">
        <f ca="1">+Anagrafica!I33</f>
        <v>0</v>
      </c>
      <c r="D127" s="1065">
        <f ca="1">+Anagrafica!J33</f>
        <v>0</v>
      </c>
      <c r="E127" s="1085" cm="1">
        <f t="array" aca="1" ref="E127" ca="1">+SUMIF(Categoriesal4,B127,Imponibilesal4)</f>
        <v>0</v>
      </c>
      <c r="F127" s="1066" cm="1">
        <f t="array" aca="1" ref="F127" ca="1">+SUMIF(Categoriesal4,B127,Realizzatosal4)</f>
        <v>0</v>
      </c>
      <c r="G127" s="1066" cm="1">
        <f t="array" aca="1" ref="G127" ca="1">+SUMIF(Categoriesal4,B127,Ammessosal4)</f>
        <v>0</v>
      </c>
      <c r="H127" s="1066" t="e">
        <f ca="1">+G127*Anagrafica!$F$38-I127</f>
        <v>#DIV/0!</v>
      </c>
      <c r="I127" s="1065" t="e">
        <f ca="1">IF(Anagrafica!$G$2="Capo II",(G127/'Calcolo contributo CAPO II'!$C$23)*Anagrafica!$C$37,G127/(GBER!$C$11+GBER!$C$13)*Anagrafica!$C$37)</f>
        <v>#DIV/0!</v>
      </c>
      <c r="J127" s="1082" t="e">
        <f ca="1">+IF(C127-F127-'1 SAL'!F113-'2 SAL'!F129-'3 SAL'!F132&lt;0,0,C127-F127-'1 SAL'!F113-'2 SAL'!F129-'3 SAL'!F132)</f>
        <v>#REF!</v>
      </c>
      <c r="K127" s="989"/>
      <c r="L127" s="1019"/>
      <c r="M127" s="1028"/>
      <c r="N127" s="989"/>
      <c r="O127" s="989"/>
      <c r="P127" s="989"/>
      <c r="Q127" s="989"/>
      <c r="R127" s="989"/>
      <c r="S127" s="989"/>
      <c r="T127" s="989"/>
    </row>
    <row r="128" spans="1:20" ht="39" customHeight="1" x14ac:dyDescent="0.35">
      <c r="A128" s="989"/>
      <c r="B128" s="875" t="str">
        <f>+IF(Anagrafica!$G$2="Capo II","Consulenze specialistiche","TOTALE PROGRAMMA DI SPESA")</f>
        <v>TOTALE PROGRAMMA DI SPESA</v>
      </c>
      <c r="C128" s="1066">
        <f ca="1">+Anagrafica!I34</f>
        <v>10000</v>
      </c>
      <c r="D128" s="1065">
        <f ca="1">+Anagrafica!J34</f>
        <v>0</v>
      </c>
      <c r="E128" s="1085" cm="1">
        <f t="array" aca="1" ref="E128" ca="1">IF(Anagrafica!$G$2="Capo II",+SUMIF(Categoriesal4,B128,Imponibilesal4),SUM(E124:E127))</f>
        <v>0</v>
      </c>
      <c r="F128" s="1066" cm="1">
        <f t="array" aca="1" ref="F128" ca="1">+IF(Anagrafica!$G$2="Capo II",+SUMIF(Categoriesal4,B128,Realizzatosal4),SUM(F124:F127))</f>
        <v>0</v>
      </c>
      <c r="G128" s="1066" cm="1">
        <f t="array" aca="1" ref="G128" ca="1">IF(Anagrafica!$G$2="Capo II",+SUMIF(Categoriesal4,B128,Ammessosal4),SUM(G124:G127))</f>
        <v>0</v>
      </c>
      <c r="H128" s="1066">
        <f ca="1">IFERROR(IF(Anagrafica!$G$2="Capo II",+G128*Anagrafica!$F$38,SUM(H124:H127)),0)</f>
        <v>0</v>
      </c>
      <c r="I128" s="1065">
        <f ca="1">IFERROR(IF(Anagrafica!$G$2="Capo II",0,SUM(I124:I127)),0)</f>
        <v>0</v>
      </c>
      <c r="J128" s="1082" t="e">
        <f ca="1">+IF(C128-F128-'1 SAL'!F114-'2 SAL'!F130-'3 SAL'!F133&lt;0,0,C128-F128-'1 SAL'!F114-'2 SAL'!F130-'3 SAL'!F133)</f>
        <v>#REF!</v>
      </c>
      <c r="K128" s="989"/>
      <c r="L128" s="1028"/>
      <c r="M128" s="989"/>
      <c r="N128" s="989"/>
      <c r="O128" s="1018"/>
      <c r="P128" s="989"/>
      <c r="Q128" s="989"/>
      <c r="R128" s="989"/>
      <c r="S128" s="989"/>
      <c r="T128" s="989"/>
    </row>
    <row r="129" spans="1:20" ht="44.25" customHeight="1" thickBot="1" x14ac:dyDescent="0.4">
      <c r="A129" s="989"/>
      <c r="B129" s="880" t="str">
        <f>+IF(Anagrafica!$G$2="Capo II","Oneri notarili connessi alla stipula del contratto di finanziamento ed oneri connessi alla costituzione della società","")</f>
        <v/>
      </c>
      <c r="C129" s="1067" t="str">
        <f>+Anagrafica!I35</f>
        <v/>
      </c>
      <c r="D129" s="1072" t="str">
        <f>+Anagrafica!J35</f>
        <v/>
      </c>
      <c r="E129" s="1085" cm="1">
        <f t="array" aca="1" ref="E129" ca="1">+SUMIF(Categoriesal4,B129,Imponibilesal4)</f>
        <v>0</v>
      </c>
      <c r="F129" s="1068" cm="1">
        <f t="array" aca="1" ref="F129" ca="1">+SUMIF(Categoriesal4,B129,Realizzatosal4)</f>
        <v>0</v>
      </c>
      <c r="G129" s="1068" cm="1">
        <f t="array" aca="1" ref="G129" ca="1">+SUMIF(Categoriesal4,B129,Ammessosal4)</f>
        <v>0</v>
      </c>
      <c r="H129" s="1064">
        <f ca="1">IFERROR(+G129*Anagrafica!F40,"")</f>
        <v>0</v>
      </c>
      <c r="I129" s="1072">
        <v>0</v>
      </c>
      <c r="J129" s="1082" t="e">
        <f ca="1">+IF(C129-F129-'1 SAL'!F115-'2 SAL'!F131-'3 SAL'!F134&lt;0,0,C129-F129-'1 SAL'!F115-'2 SAL'!F131-'3 SAL'!F134)</f>
        <v>#VALUE!</v>
      </c>
      <c r="K129" s="989"/>
      <c r="L129" s="989"/>
      <c r="M129" s="989"/>
      <c r="N129" s="989"/>
      <c r="O129" s="989"/>
      <c r="P129" s="989"/>
      <c r="Q129" s="989"/>
      <c r="R129" s="989"/>
      <c r="S129" s="989"/>
      <c r="T129" s="989"/>
    </row>
    <row r="130" spans="1:20" ht="28.5" customHeight="1" thickBot="1" x14ac:dyDescent="0.4">
      <c r="A130" s="989"/>
      <c r="B130" s="877" t="str">
        <f>+IF(Anagrafica!$G$2="Capo II","TOTALE INVESTIMENTO","")</f>
        <v/>
      </c>
      <c r="C130" s="1069" t="str">
        <f>+Anagrafica!I36</f>
        <v/>
      </c>
      <c r="D130" s="1080" t="str">
        <f>+Anagrafica!J36</f>
        <v/>
      </c>
      <c r="E130" s="1087">
        <f t="shared" ref="E130:I130" ca="1" si="0">+SUM(E124:E129)</f>
        <v>0</v>
      </c>
      <c r="F130" s="1070">
        <f t="shared" ca="1" si="0"/>
        <v>0</v>
      </c>
      <c r="G130" s="1070">
        <f t="shared" ca="1" si="0"/>
        <v>0</v>
      </c>
      <c r="H130" s="1070" t="e">
        <f t="shared" ca="1" si="0"/>
        <v>#DIV/0!</v>
      </c>
      <c r="I130" s="1071" t="e">
        <f t="shared" ca="1" si="0"/>
        <v>#DIV/0!</v>
      </c>
      <c r="J130" s="1083" t="e">
        <f ca="1">+SUM(J124:J129)</f>
        <v>#REF!</v>
      </c>
      <c r="K130" s="989"/>
      <c r="L130" s="989"/>
      <c r="M130" s="989"/>
      <c r="N130" s="989"/>
      <c r="O130" s="989"/>
      <c r="P130" s="989"/>
      <c r="Q130" s="989"/>
      <c r="R130" s="989"/>
      <c r="S130" s="989"/>
      <c r="T130" s="989"/>
    </row>
    <row r="131" spans="1:20" ht="27.75" customHeight="1" thickBot="1" x14ac:dyDescent="0.4">
      <c r="A131" s="989"/>
      <c r="B131" s="880" t="str">
        <f>+IF(Anagrafica!$G$2="Capo II","Capitale circolante","")</f>
        <v/>
      </c>
      <c r="C131" s="1067">
        <f>+Anagrafica!C31</f>
        <v>0</v>
      </c>
      <c r="D131" s="1072">
        <f>+Anagrafica!C31</f>
        <v>0</v>
      </c>
      <c r="E131" s="1067">
        <f>+E81</f>
        <v>0</v>
      </c>
      <c r="F131" s="1067">
        <f>+E82</f>
        <v>0</v>
      </c>
      <c r="G131" s="1067">
        <f>+E82</f>
        <v>0</v>
      </c>
      <c r="H131" s="1064">
        <f ca="1">IFERROR(G131*Anagrafica!$F$38,0)</f>
        <v>0</v>
      </c>
      <c r="I131" s="1086">
        <v>0</v>
      </c>
      <c r="J131" s="1084">
        <f>+IF(C131-F131-'1 SAL'!F117-'2 SAL'!F133-'3 SAL'!F136&lt;0,0,C131-F131-'1 SAL'!F117-'2 SAL'!F133-'3 SAL'!F136)</f>
        <v>0</v>
      </c>
      <c r="K131" s="989"/>
      <c r="L131" s="989"/>
      <c r="M131" s="989"/>
      <c r="N131" s="989"/>
      <c r="O131" s="989"/>
      <c r="P131" s="989"/>
      <c r="R131" s="989"/>
      <c r="S131" s="989"/>
      <c r="T131" s="989"/>
    </row>
    <row r="132" spans="1:20" ht="31.5" customHeight="1" thickBot="1" x14ac:dyDescent="0.4">
      <c r="A132" s="989"/>
      <c r="B132" s="877" t="str">
        <f>+IF(Anagrafica!G2="Capo II","TOTALE PROGRAMMA DI SPESA","")</f>
        <v/>
      </c>
      <c r="C132" s="1070" t="str">
        <f>+Anagrafica!I38</f>
        <v/>
      </c>
      <c r="D132" s="1070" t="str">
        <f>+Anagrafica!J38</f>
        <v/>
      </c>
      <c r="E132" s="1070">
        <f ca="1">+E130+E131</f>
        <v>0</v>
      </c>
      <c r="F132" s="1070">
        <f ca="1">+F130+F131</f>
        <v>0</v>
      </c>
      <c r="G132" s="1070">
        <f ca="1">+G130+G131</f>
        <v>0</v>
      </c>
      <c r="H132" s="1070" t="e">
        <f ca="1">+H131+H130</f>
        <v>#DIV/0!</v>
      </c>
      <c r="I132" s="1071" t="e">
        <f ca="1">+I130</f>
        <v>#DIV/0!</v>
      </c>
      <c r="J132" s="1083" t="e">
        <f ca="1">+J131+J130</f>
        <v>#REF!</v>
      </c>
      <c r="K132" s="989"/>
      <c r="L132" s="989"/>
      <c r="M132" s="989"/>
      <c r="N132" s="989"/>
      <c r="O132" s="989"/>
      <c r="P132" s="989"/>
      <c r="Q132" s="989"/>
      <c r="R132" s="989"/>
      <c r="S132" s="989"/>
      <c r="T132" s="989"/>
    </row>
    <row r="133" spans="1:20" x14ac:dyDescent="0.35">
      <c r="A133" s="989"/>
      <c r="B133" s="989"/>
      <c r="C133" s="989"/>
      <c r="D133" s="989"/>
      <c r="E133" s="989"/>
      <c r="F133" s="989"/>
      <c r="G133" s="989"/>
      <c r="H133" s="989"/>
      <c r="I133" s="989"/>
      <c r="J133" s="989"/>
      <c r="K133" s="989"/>
      <c r="L133" s="989"/>
      <c r="M133" s="989"/>
      <c r="N133" s="989"/>
      <c r="O133" s="989"/>
      <c r="P133" s="989"/>
      <c r="Q133" s="989"/>
      <c r="R133" s="989"/>
      <c r="S133" s="989"/>
      <c r="T133" s="989"/>
    </row>
    <row r="134" spans="1:20" ht="15" thickBot="1" x14ac:dyDescent="0.4">
      <c r="A134" s="989"/>
      <c r="B134" s="989"/>
      <c r="C134" s="989"/>
      <c r="D134" s="989"/>
      <c r="E134" s="989"/>
      <c r="F134" s="989"/>
      <c r="G134" s="989"/>
      <c r="H134" s="989"/>
      <c r="I134" s="989"/>
      <c r="J134" s="989"/>
      <c r="K134" s="989"/>
      <c r="L134" s="989"/>
      <c r="M134" s="989"/>
      <c r="N134" s="989"/>
      <c r="O134" s="989"/>
      <c r="P134" s="989"/>
      <c r="Q134" s="989"/>
      <c r="R134" s="989"/>
      <c r="S134" s="989"/>
      <c r="T134" s="989"/>
    </row>
    <row r="135" spans="1:20" ht="15" thickBot="1" x14ac:dyDescent="0.4">
      <c r="A135" s="989"/>
      <c r="B135" s="2232" t="s">
        <v>2163</v>
      </c>
      <c r="C135" s="2233"/>
      <c r="D135" s="2233"/>
      <c r="E135" s="2234"/>
      <c r="F135" s="1119"/>
      <c r="G135" s="989"/>
      <c r="H135" s="989"/>
      <c r="I135" s="989"/>
      <c r="J135" s="989"/>
      <c r="K135" s="989"/>
      <c r="L135" s="989"/>
      <c r="M135" s="989"/>
      <c r="N135" s="989"/>
      <c r="O135" s="989"/>
      <c r="P135" s="989"/>
      <c r="Q135" s="989"/>
      <c r="R135" s="989"/>
      <c r="S135" s="989"/>
      <c r="T135" s="989"/>
    </row>
    <row r="136" spans="1:20" x14ac:dyDescent="0.35">
      <c r="A136" s="989"/>
      <c r="B136" s="2209" t="s">
        <v>2251</v>
      </c>
      <c r="C136" s="2209"/>
      <c r="D136" s="2209"/>
      <c r="E136" s="2209"/>
      <c r="F136" s="1114">
        <f ca="1">+IF(Anagrafica!$G$2="Capo II",E132,E128)</f>
        <v>0</v>
      </c>
      <c r="G136" s="989"/>
      <c r="H136" s="989"/>
      <c r="I136" s="989"/>
      <c r="J136" s="989"/>
      <c r="K136" s="989"/>
      <c r="L136" s="989"/>
      <c r="M136" s="989"/>
      <c r="N136" s="989"/>
      <c r="O136" s="989"/>
      <c r="P136" s="989"/>
      <c r="Q136" s="989"/>
      <c r="R136" s="989"/>
      <c r="S136" s="989"/>
      <c r="T136" s="989"/>
    </row>
    <row r="137" spans="1:20" x14ac:dyDescent="0.35">
      <c r="A137" s="989"/>
      <c r="B137" s="2208" t="s">
        <v>2252</v>
      </c>
      <c r="C137" s="2208"/>
      <c r="D137" s="2208"/>
      <c r="E137" s="2208"/>
      <c r="F137" s="1115">
        <f ca="1">+IF(Anagrafica!$G$2="Capo II",F132,F128)</f>
        <v>0</v>
      </c>
      <c r="G137" s="989"/>
      <c r="H137" s="989"/>
      <c r="I137" s="989"/>
      <c r="J137" s="989"/>
      <c r="K137" s="989"/>
      <c r="L137" s="989"/>
      <c r="M137" s="989"/>
      <c r="N137" s="989"/>
      <c r="O137" s="989"/>
      <c r="P137" s="989"/>
      <c r="Q137" s="989"/>
      <c r="R137" s="989"/>
      <c r="S137" s="989"/>
      <c r="T137" s="989"/>
    </row>
    <row r="138" spans="1:20" x14ac:dyDescent="0.35">
      <c r="A138" s="989"/>
      <c r="B138" s="2208" t="s">
        <v>2253</v>
      </c>
      <c r="C138" s="2208"/>
      <c r="D138" s="2208"/>
      <c r="E138" s="2208"/>
      <c r="F138" s="1115">
        <f ca="1">+IF(Anagrafica!$G$2="Capo II",G132,G128)</f>
        <v>0</v>
      </c>
      <c r="G138" s="989"/>
      <c r="H138" s="989"/>
      <c r="I138" s="989"/>
      <c r="J138" s="989"/>
      <c r="K138" s="989"/>
      <c r="L138" s="989"/>
      <c r="M138" s="989"/>
      <c r="N138" s="989"/>
      <c r="O138" s="989"/>
      <c r="P138" s="989"/>
      <c r="Q138" s="989"/>
      <c r="R138" s="989"/>
      <c r="S138" s="989"/>
      <c r="T138" s="989"/>
    </row>
    <row r="139" spans="1:20" x14ac:dyDescent="0.35">
      <c r="A139" s="989"/>
      <c r="B139" s="2208" t="s">
        <v>2274</v>
      </c>
      <c r="C139" s="2208"/>
      <c r="D139" s="2208"/>
      <c r="E139" s="2208"/>
      <c r="F139" s="1116">
        <f ca="1">+IF(Anagrafica!$G$2="Capo II",H132,H128)</f>
        <v>0</v>
      </c>
      <c r="G139" s="989"/>
      <c r="H139" s="989"/>
      <c r="I139" s="989"/>
      <c r="J139" s="989"/>
      <c r="K139" s="989"/>
      <c r="L139" s="989"/>
      <c r="M139" s="989"/>
      <c r="N139" s="989"/>
      <c r="O139" s="989"/>
      <c r="P139" s="989"/>
      <c r="Q139" s="989"/>
      <c r="R139" s="989"/>
      <c r="S139" s="989"/>
      <c r="T139" s="989"/>
    </row>
    <row r="140" spans="1:20" x14ac:dyDescent="0.35">
      <c r="A140" s="989"/>
      <c r="B140" s="2235" t="s">
        <v>2255</v>
      </c>
      <c r="C140" s="2236"/>
      <c r="D140" s="2236"/>
      <c r="E140" s="2237"/>
      <c r="F140" s="1116" t="e">
        <f ca="1">+Anticipo!F47*(F138/Anagrafica!C32)</f>
        <v>#DIV/0!</v>
      </c>
      <c r="G140" s="989"/>
      <c r="H140" s="989"/>
      <c r="I140" s="989"/>
      <c r="J140" s="989"/>
      <c r="K140" s="989"/>
      <c r="L140" s="989"/>
      <c r="M140" s="989"/>
      <c r="N140" s="989"/>
      <c r="O140" s="989"/>
      <c r="P140" s="989"/>
      <c r="Q140" s="989"/>
      <c r="R140" s="989"/>
      <c r="S140" s="989"/>
      <c r="T140" s="989"/>
    </row>
    <row r="141" spans="1:20" ht="15" customHeight="1" x14ac:dyDescent="0.35">
      <c r="A141" s="989"/>
      <c r="B141" s="2235" t="s">
        <v>2275</v>
      </c>
      <c r="C141" s="2236"/>
      <c r="D141" s="2236"/>
      <c r="E141" s="2237"/>
      <c r="F141" s="1116">
        <f ca="1">+IFERROR(IF(+'4 SAL VNQ'!BR24-F140&lt;=0,0,+'4 SAL VNQ'!BR24-F140),0)</f>
        <v>0</v>
      </c>
      <c r="G141" s="989"/>
      <c r="H141" s="989"/>
      <c r="I141" s="989"/>
      <c r="J141" s="989"/>
      <c r="K141" s="989"/>
      <c r="L141" s="989"/>
      <c r="M141" s="989"/>
      <c r="N141" s="989"/>
      <c r="O141" s="989"/>
      <c r="P141" s="989"/>
      <c r="Q141" s="989"/>
      <c r="R141" s="989"/>
      <c r="S141" s="989"/>
      <c r="T141" s="989"/>
    </row>
    <row r="142" spans="1:20" x14ac:dyDescent="0.35">
      <c r="A142" s="989"/>
      <c r="B142" s="2208" t="s">
        <v>2276</v>
      </c>
      <c r="C142" s="2208"/>
      <c r="D142" s="2208"/>
      <c r="E142" s="2235"/>
      <c r="F142" s="1117">
        <f ca="1">+IF(Anagrafica!$G$2="Capo II",I132,I128)</f>
        <v>0</v>
      </c>
      <c r="G142" s="989"/>
      <c r="H142" s="989"/>
      <c r="I142" s="989"/>
      <c r="J142" s="989"/>
      <c r="K142" s="989"/>
      <c r="L142" s="989"/>
      <c r="M142" s="989"/>
      <c r="N142" s="989"/>
      <c r="O142" s="989"/>
      <c r="P142" s="989"/>
      <c r="Q142" s="989"/>
      <c r="R142" s="989"/>
      <c r="S142" s="989"/>
      <c r="T142" s="989"/>
    </row>
    <row r="143" spans="1:20" ht="15.75" customHeight="1" thickBot="1" x14ac:dyDescent="0.4">
      <c r="A143" s="989"/>
      <c r="B143" s="2208" t="s">
        <v>2277</v>
      </c>
      <c r="C143" s="2208"/>
      <c r="D143" s="2208"/>
      <c r="E143" s="2208"/>
      <c r="F143" s="1117">
        <f ca="1">IFERROR(IF(F138&lt;=0,0,+'4 SAL VNQ'!BS24),0)</f>
        <v>0</v>
      </c>
      <c r="G143" s="989"/>
      <c r="H143" s="989"/>
      <c r="I143" s="989"/>
      <c r="J143" s="989"/>
      <c r="K143" s="989"/>
      <c r="L143" s="989"/>
      <c r="M143" s="989"/>
      <c r="N143" s="989"/>
      <c r="O143" s="989"/>
      <c r="P143" s="989"/>
      <c r="Q143" s="989"/>
      <c r="R143" s="989"/>
      <c r="S143" s="989"/>
      <c r="T143" s="989"/>
    </row>
    <row r="144" spans="1:20" ht="15" thickBot="1" x14ac:dyDescent="0.4">
      <c r="A144" s="989"/>
      <c r="B144" s="2231" t="s">
        <v>2278</v>
      </c>
      <c r="C144" s="2231"/>
      <c r="D144" s="2231"/>
      <c r="E144" s="2231"/>
      <c r="F144" s="1118">
        <f ca="1">+F143+F141</f>
        <v>0</v>
      </c>
      <c r="G144" s="989"/>
      <c r="H144" s="989"/>
      <c r="I144" s="989"/>
      <c r="J144" s="989"/>
      <c r="K144" s="989"/>
      <c r="L144" s="989"/>
      <c r="M144" s="989"/>
      <c r="N144" s="989"/>
      <c r="O144" s="989"/>
      <c r="P144" s="989"/>
      <c r="Q144" s="989"/>
      <c r="R144" s="989"/>
      <c r="S144" s="989"/>
      <c r="T144" s="989"/>
    </row>
    <row r="145" spans="1:20" ht="15" thickBot="1" x14ac:dyDescent="0.4">
      <c r="A145" s="989"/>
      <c r="B145" s="989"/>
      <c r="C145" s="989"/>
      <c r="D145" s="989"/>
      <c r="E145" s="989"/>
      <c r="F145" s="989"/>
      <c r="G145" s="989"/>
      <c r="H145" s="2161" t="s">
        <v>2165</v>
      </c>
      <c r="I145" s="2162"/>
      <c r="J145" s="1203"/>
      <c r="K145" s="989"/>
      <c r="L145" s="989"/>
      <c r="M145" s="989"/>
      <c r="N145" s="989"/>
      <c r="O145" s="989"/>
      <c r="P145" s="989"/>
      <c r="Q145" s="989"/>
      <c r="R145" s="989"/>
      <c r="S145" s="989"/>
      <c r="T145" s="989"/>
    </row>
    <row r="146" spans="1:20" ht="15" thickBot="1" x14ac:dyDescent="0.4">
      <c r="A146" s="989"/>
      <c r="B146" s="989"/>
      <c r="C146" s="989"/>
      <c r="D146" s="989"/>
      <c r="E146" s="989"/>
      <c r="F146" s="989"/>
      <c r="G146" s="989"/>
      <c r="H146" s="2161" t="s">
        <v>2166</v>
      </c>
      <c r="I146" s="2162"/>
      <c r="J146" s="1203"/>
      <c r="K146" s="989"/>
      <c r="L146" s="989"/>
      <c r="M146" s="989"/>
      <c r="N146" s="989"/>
      <c r="O146" s="989"/>
      <c r="P146" s="989"/>
      <c r="Q146" s="989"/>
      <c r="R146" s="989"/>
      <c r="S146" s="989"/>
      <c r="T146" s="989"/>
    </row>
    <row r="147" spans="1:20" ht="15" thickBot="1" x14ac:dyDescent="0.4">
      <c r="A147" s="989"/>
      <c r="B147" s="989"/>
      <c r="C147" s="989"/>
      <c r="D147" s="989"/>
      <c r="E147" s="989"/>
      <c r="F147" s="989"/>
      <c r="G147" s="989"/>
      <c r="H147" s="2194" t="s">
        <v>2167</v>
      </c>
      <c r="I147" s="2195"/>
      <c r="J147" s="1203"/>
      <c r="K147" s="989"/>
      <c r="L147" s="989"/>
      <c r="M147" s="989"/>
      <c r="N147" s="989"/>
      <c r="O147" s="989"/>
      <c r="P147" s="989"/>
      <c r="Q147" s="989"/>
      <c r="R147" s="989"/>
      <c r="S147" s="989"/>
      <c r="T147" s="989"/>
    </row>
    <row r="148" spans="1:20" x14ac:dyDescent="0.35">
      <c r="A148" s="989"/>
      <c r="B148" s="989"/>
      <c r="C148" s="989"/>
      <c r="D148" s="989"/>
      <c r="E148" s="989"/>
      <c r="F148" s="989"/>
      <c r="G148" s="989"/>
      <c r="H148" s="989"/>
      <c r="I148" s="989"/>
      <c r="J148" s="989"/>
      <c r="K148" s="989"/>
      <c r="L148" s="989"/>
      <c r="M148" s="989"/>
      <c r="N148" s="989"/>
      <c r="O148" s="989"/>
      <c r="P148" s="989"/>
      <c r="Q148" s="989"/>
      <c r="R148" s="989"/>
      <c r="S148" s="989"/>
      <c r="T148" s="989"/>
    </row>
    <row r="149" spans="1:20" x14ac:dyDescent="0.35">
      <c r="A149" s="989"/>
      <c r="B149" s="989"/>
      <c r="C149" s="989"/>
      <c r="D149" s="989"/>
      <c r="E149" s="989"/>
      <c r="F149" s="989"/>
      <c r="G149" s="989"/>
      <c r="H149" s="989"/>
      <c r="I149" s="989"/>
      <c r="J149" s="989"/>
      <c r="K149" s="989"/>
      <c r="L149" s="989"/>
      <c r="M149" s="989"/>
      <c r="N149" s="989"/>
      <c r="O149" s="989"/>
      <c r="P149" s="989"/>
      <c r="Q149" s="989"/>
      <c r="R149" s="989"/>
      <c r="S149" s="989"/>
      <c r="T149" s="989"/>
    </row>
    <row r="150" spans="1:20" x14ac:dyDescent="0.35">
      <c r="A150" s="989"/>
      <c r="B150" s="989"/>
      <c r="C150" s="989"/>
      <c r="D150" s="989"/>
      <c r="E150" s="989"/>
      <c r="F150" s="989"/>
      <c r="G150" s="989"/>
      <c r="H150" s="989"/>
      <c r="I150" s="989"/>
      <c r="J150" s="989"/>
      <c r="K150" s="989"/>
      <c r="L150" s="989"/>
      <c r="M150" s="989"/>
      <c r="N150" s="989"/>
      <c r="O150" s="989"/>
      <c r="P150" s="989"/>
      <c r="Q150" s="989"/>
      <c r="R150" s="989"/>
      <c r="S150" s="989"/>
      <c r="T150" s="989"/>
    </row>
    <row r="151" spans="1:20" x14ac:dyDescent="0.35">
      <c r="A151" s="989"/>
      <c r="B151" s="989"/>
      <c r="C151" s="989"/>
      <c r="D151" s="989"/>
      <c r="E151" s="989"/>
      <c r="F151" s="989"/>
      <c r="G151" s="989"/>
      <c r="H151" s="989"/>
      <c r="I151" s="989"/>
      <c r="J151" s="989"/>
      <c r="K151" s="989"/>
      <c r="L151" s="989"/>
      <c r="M151" s="989"/>
      <c r="N151" s="989"/>
      <c r="O151" s="989"/>
      <c r="P151" s="989"/>
      <c r="Q151" s="989"/>
      <c r="R151" s="989"/>
      <c r="S151" s="989"/>
      <c r="T151" s="989"/>
    </row>
    <row r="152" spans="1:20" x14ac:dyDescent="0.35">
      <c r="A152" s="989"/>
      <c r="B152" s="989"/>
      <c r="C152" s="989"/>
      <c r="D152" s="989"/>
      <c r="E152" s="989"/>
      <c r="F152" s="989"/>
      <c r="G152" s="989"/>
      <c r="H152" s="989"/>
      <c r="I152" s="989"/>
      <c r="J152" s="989"/>
      <c r="K152" s="989"/>
      <c r="L152" s="989"/>
      <c r="M152" s="989"/>
      <c r="N152" s="989"/>
      <c r="O152" s="989"/>
      <c r="P152" s="989"/>
      <c r="Q152" s="989"/>
      <c r="R152" s="989"/>
      <c r="S152" s="989"/>
      <c r="T152" s="989"/>
    </row>
    <row r="153" spans="1:20" x14ac:dyDescent="0.35">
      <c r="A153" s="989"/>
      <c r="B153" s="989"/>
      <c r="C153" s="989"/>
      <c r="D153" s="989"/>
      <c r="E153" s="989"/>
      <c r="F153" s="989"/>
      <c r="G153" s="989"/>
      <c r="H153" s="989"/>
      <c r="I153" s="989"/>
      <c r="J153" s="989"/>
      <c r="K153" s="989"/>
      <c r="L153" s="989"/>
      <c r="M153" s="989"/>
      <c r="N153" s="989"/>
      <c r="O153" s="989"/>
      <c r="P153" s="989"/>
      <c r="Q153" s="989"/>
      <c r="R153" s="989"/>
      <c r="S153" s="989"/>
      <c r="T153" s="989"/>
    </row>
    <row r="154" spans="1:20" x14ac:dyDescent="0.35">
      <c r="A154" s="989"/>
      <c r="B154" s="989"/>
      <c r="C154" s="989"/>
      <c r="D154" s="989"/>
      <c r="E154" s="989"/>
      <c r="F154" s="989"/>
      <c r="G154" s="989"/>
      <c r="H154" s="989"/>
      <c r="I154" s="989"/>
      <c r="J154" s="989"/>
      <c r="K154" s="989"/>
      <c r="L154" s="989"/>
      <c r="M154" s="989"/>
      <c r="N154" s="989"/>
      <c r="O154" s="989"/>
      <c r="P154" s="989"/>
      <c r="Q154" s="989"/>
      <c r="R154" s="989"/>
      <c r="S154" s="989"/>
      <c r="T154" s="989"/>
    </row>
    <row r="155" spans="1:20" x14ac:dyDescent="0.35">
      <c r="A155" s="989"/>
      <c r="B155" s="989"/>
      <c r="C155" s="989"/>
      <c r="D155" s="989"/>
      <c r="E155" s="989"/>
      <c r="F155" s="989"/>
      <c r="G155" s="989"/>
      <c r="H155" s="989"/>
      <c r="I155" s="989"/>
      <c r="J155" s="989"/>
      <c r="K155" s="989"/>
      <c r="L155" s="989"/>
      <c r="M155" s="989"/>
      <c r="N155" s="989"/>
      <c r="O155" s="989"/>
      <c r="P155" s="989"/>
      <c r="Q155" s="989"/>
      <c r="R155" s="989"/>
      <c r="S155" s="989"/>
      <c r="T155" s="989"/>
    </row>
    <row r="156" spans="1:20" x14ac:dyDescent="0.35">
      <c r="A156" s="989"/>
      <c r="B156" s="989"/>
      <c r="C156" s="989"/>
      <c r="D156" s="989"/>
      <c r="E156" s="989"/>
      <c r="F156" s="989"/>
      <c r="G156" s="989"/>
      <c r="H156" s="989"/>
      <c r="I156" s="989"/>
      <c r="J156" s="989"/>
      <c r="K156" s="989"/>
      <c r="L156" s="989"/>
      <c r="M156" s="989"/>
      <c r="N156" s="989"/>
      <c r="O156" s="989"/>
      <c r="P156" s="989"/>
      <c r="Q156" s="989"/>
      <c r="R156" s="989"/>
      <c r="S156" s="989"/>
      <c r="T156" s="989"/>
    </row>
    <row r="157" spans="1:20" x14ac:dyDescent="0.35">
      <c r="A157" s="989"/>
      <c r="B157" s="989"/>
      <c r="C157" s="989"/>
      <c r="D157" s="989"/>
      <c r="E157" s="989"/>
      <c r="F157" s="989"/>
      <c r="G157" s="989"/>
      <c r="H157" s="989"/>
      <c r="I157" s="989"/>
      <c r="J157" s="989"/>
      <c r="K157" s="989"/>
      <c r="L157" s="989"/>
      <c r="M157" s="989"/>
      <c r="N157" s="989"/>
      <c r="O157" s="989"/>
      <c r="P157" s="989"/>
      <c r="Q157" s="989"/>
      <c r="R157" s="989"/>
      <c r="S157" s="989"/>
      <c r="T157" s="989"/>
    </row>
    <row r="158" spans="1:20" x14ac:dyDescent="0.35">
      <c r="A158" s="989"/>
      <c r="B158" s="989"/>
      <c r="C158" s="989"/>
      <c r="D158" s="989"/>
      <c r="E158" s="989"/>
      <c r="F158" s="989"/>
      <c r="G158" s="989"/>
      <c r="H158" s="989"/>
      <c r="I158" s="989"/>
      <c r="J158" s="989"/>
      <c r="K158" s="989"/>
      <c r="L158" s="989"/>
      <c r="M158" s="989"/>
      <c r="N158" s="989"/>
      <c r="O158" s="989"/>
      <c r="P158" s="989"/>
      <c r="Q158" s="989"/>
      <c r="R158" s="989"/>
      <c r="S158" s="989"/>
      <c r="T158" s="989"/>
    </row>
    <row r="159" spans="1:20" x14ac:dyDescent="0.35">
      <c r="A159" s="989"/>
      <c r="B159" s="989"/>
      <c r="C159" s="989"/>
      <c r="D159" s="989"/>
      <c r="E159" s="989"/>
      <c r="F159" s="989"/>
      <c r="G159" s="989"/>
      <c r="H159" s="989"/>
      <c r="I159" s="989"/>
      <c r="J159" s="989"/>
      <c r="K159" s="989"/>
      <c r="L159" s="989"/>
      <c r="M159" s="989"/>
      <c r="N159" s="989"/>
      <c r="O159" s="989"/>
      <c r="P159" s="989"/>
      <c r="Q159" s="989"/>
      <c r="R159" s="989"/>
      <c r="S159" s="989"/>
      <c r="T159" s="989"/>
    </row>
    <row r="160" spans="1:20" x14ac:dyDescent="0.35">
      <c r="A160" s="989"/>
      <c r="B160" s="989"/>
      <c r="C160" s="989"/>
      <c r="D160" s="989"/>
      <c r="E160" s="989"/>
      <c r="F160" s="989"/>
      <c r="G160" s="989"/>
      <c r="H160" s="989"/>
      <c r="I160" s="989"/>
      <c r="J160" s="989"/>
      <c r="K160" s="989"/>
      <c r="L160" s="989"/>
      <c r="M160" s="989"/>
      <c r="N160" s="989"/>
      <c r="O160" s="989"/>
      <c r="P160" s="989"/>
      <c r="Q160" s="989"/>
      <c r="R160" s="989"/>
      <c r="S160" s="989"/>
      <c r="T160" s="989"/>
    </row>
    <row r="161" spans="1:20" x14ac:dyDescent="0.35">
      <c r="A161" s="989"/>
      <c r="B161" s="989"/>
      <c r="C161" s="989"/>
      <c r="D161" s="989"/>
      <c r="E161" s="989"/>
      <c r="F161" s="989"/>
      <c r="G161" s="989"/>
      <c r="H161" s="989"/>
      <c r="I161" s="989"/>
      <c r="J161" s="989"/>
      <c r="K161" s="989"/>
      <c r="L161" s="989"/>
      <c r="M161" s="989"/>
      <c r="N161" s="989"/>
      <c r="O161" s="989"/>
      <c r="P161" s="989"/>
      <c r="Q161" s="989"/>
      <c r="R161" s="989"/>
      <c r="S161" s="989"/>
      <c r="T161" s="989"/>
    </row>
    <row r="162" spans="1:20" s="989" customFormat="1" x14ac:dyDescent="0.35"/>
    <row r="163" spans="1:20" s="989" customFormat="1" x14ac:dyDescent="0.35"/>
    <row r="164" spans="1:20" s="989" customFormat="1" x14ac:dyDescent="0.35"/>
    <row r="165" spans="1:20" s="989" customFormat="1" x14ac:dyDescent="0.35"/>
    <row r="166" spans="1:20" s="989" customFormat="1" x14ac:dyDescent="0.35"/>
    <row r="167" spans="1:20" s="989" customFormat="1" x14ac:dyDescent="0.35"/>
    <row r="168" spans="1:20" s="989" customFormat="1" x14ac:dyDescent="0.35"/>
    <row r="169" spans="1:20" s="989" customFormat="1" x14ac:dyDescent="0.35"/>
    <row r="170" spans="1:20" s="989" customFormat="1" x14ac:dyDescent="0.35"/>
    <row r="171" spans="1:20" s="989" customFormat="1" x14ac:dyDescent="0.35"/>
    <row r="172" spans="1:20" s="989" customFormat="1" x14ac:dyDescent="0.35"/>
    <row r="173" spans="1:20" s="989" customFormat="1" x14ac:dyDescent="0.35"/>
    <row r="174" spans="1:20" s="989" customFormat="1" x14ac:dyDescent="0.35"/>
    <row r="175" spans="1:20" s="989" customFormat="1" x14ac:dyDescent="0.35"/>
    <row r="176" spans="1:20" s="989" customFormat="1" x14ac:dyDescent="0.35"/>
    <row r="177" s="989" customFormat="1" x14ac:dyDescent="0.35"/>
  </sheetData>
  <mergeCells count="114">
    <mergeCell ref="J88:K88"/>
    <mergeCell ref="J89:K89"/>
    <mergeCell ref="R68:S68"/>
    <mergeCell ref="R69:S69"/>
    <mergeCell ref="R70:S70"/>
    <mergeCell ref="R71:S71"/>
    <mergeCell ref="B34:E34"/>
    <mergeCell ref="G34:I34"/>
    <mergeCell ref="B35:I35"/>
    <mergeCell ref="B36:E36"/>
    <mergeCell ref="G36:I36"/>
    <mergeCell ref="B37:E37"/>
    <mergeCell ref="B82:D82"/>
    <mergeCell ref="B74:S74"/>
    <mergeCell ref="B47:E47"/>
    <mergeCell ref="G47:I47"/>
    <mergeCell ref="B48:E48"/>
    <mergeCell ref="B49:E49"/>
    <mergeCell ref="B50:E50"/>
    <mergeCell ref="B51:E51"/>
    <mergeCell ref="B44:E44"/>
    <mergeCell ref="G44:I44"/>
    <mergeCell ref="B45:E45"/>
    <mergeCell ref="G45:I45"/>
    <mergeCell ref="B142:E142"/>
    <mergeCell ref="B143:E143"/>
    <mergeCell ref="B138:E138"/>
    <mergeCell ref="B139:E139"/>
    <mergeCell ref="B141:E141"/>
    <mergeCell ref="B135:E135"/>
    <mergeCell ref="B136:E136"/>
    <mergeCell ref="B137:E137"/>
    <mergeCell ref="C122:D122"/>
    <mergeCell ref="E122:I122"/>
    <mergeCell ref="B92:K92"/>
    <mergeCell ref="B93:K93"/>
    <mergeCell ref="B94:K94"/>
    <mergeCell ref="B95:K95"/>
    <mergeCell ref="B41:E41"/>
    <mergeCell ref="G41:I41"/>
    <mergeCell ref="B42:E42"/>
    <mergeCell ref="B2:K2"/>
    <mergeCell ref="C4:F4"/>
    <mergeCell ref="B6:G6"/>
    <mergeCell ref="H6:K6"/>
    <mergeCell ref="B8:K8"/>
    <mergeCell ref="B10:B11"/>
    <mergeCell ref="C10:K11"/>
    <mergeCell ref="B81:D81"/>
    <mergeCell ref="B22:K22"/>
    <mergeCell ref="B23:K25"/>
    <mergeCell ref="B64:T64"/>
    <mergeCell ref="C13:D13"/>
    <mergeCell ref="G13:K13"/>
    <mergeCell ref="C15:K15"/>
    <mergeCell ref="B16:K16"/>
    <mergeCell ref="F20:K20"/>
    <mergeCell ref="B21:K21"/>
    <mergeCell ref="B31:I31"/>
    <mergeCell ref="B32:E32"/>
    <mergeCell ref="G32:I32"/>
    <mergeCell ref="B27:B29"/>
    <mergeCell ref="B33:E33"/>
    <mergeCell ref="G33:I33"/>
    <mergeCell ref="G42:I42"/>
    <mergeCell ref="B43:E43"/>
    <mergeCell ref="G43:I43"/>
    <mergeCell ref="G37:I37"/>
    <mergeCell ref="B38:E38"/>
    <mergeCell ref="G38:I38"/>
    <mergeCell ref="B40:E40"/>
    <mergeCell ref="G40:I40"/>
    <mergeCell ref="B46:I46"/>
    <mergeCell ref="B56:E56"/>
    <mergeCell ref="G56:I56"/>
    <mergeCell ref="B57:E57"/>
    <mergeCell ref="G57:I57"/>
    <mergeCell ref="B58:E58"/>
    <mergeCell ref="G58:I58"/>
    <mergeCell ref="B54:E54"/>
    <mergeCell ref="G54:I54"/>
    <mergeCell ref="B55:E55"/>
    <mergeCell ref="G55:I55"/>
    <mergeCell ref="B52:E52"/>
    <mergeCell ref="B53:E53"/>
    <mergeCell ref="G49:I49"/>
    <mergeCell ref="G50:I50"/>
    <mergeCell ref="G51:I51"/>
    <mergeCell ref="G52:I52"/>
    <mergeCell ref="G53:I53"/>
    <mergeCell ref="H145:I145"/>
    <mergeCell ref="H146:I146"/>
    <mergeCell ref="H147:I147"/>
    <mergeCell ref="B144:E144"/>
    <mergeCell ref="B140:E140"/>
    <mergeCell ref="B59:E59"/>
    <mergeCell ref="G59:I59"/>
    <mergeCell ref="B60:E60"/>
    <mergeCell ref="G60:I60"/>
    <mergeCell ref="B61:E61"/>
    <mergeCell ref="G61:I61"/>
    <mergeCell ref="B117:T117"/>
    <mergeCell ref="B75:S75"/>
    <mergeCell ref="B76:S76"/>
    <mergeCell ref="B77:S77"/>
    <mergeCell ref="B78:S78"/>
    <mergeCell ref="B99:T99"/>
    <mergeCell ref="B108:K108"/>
    <mergeCell ref="B109:K109"/>
    <mergeCell ref="B110:K110"/>
    <mergeCell ref="B111:K111"/>
    <mergeCell ref="J85:K85"/>
    <mergeCell ref="J86:K86"/>
    <mergeCell ref="J87:K87"/>
  </mergeCells>
  <conditionalFormatting sqref="F20">
    <cfRule type="expression" dxfId="53" priority="28">
      <formula>$E$20/$K$17&gt;20%</formula>
    </cfRule>
  </conditionalFormatting>
  <conditionalFormatting sqref="E105">
    <cfRule type="expression" dxfId="52" priority="19">
      <formula>IF(SUMIFS(Imponibilesal3,Quietanzasal3,"NO")&gt;$E$105,1,0)</formula>
    </cfRule>
  </conditionalFormatting>
  <dataValidations count="8">
    <dataValidation type="list" allowBlank="1" showInputMessage="1" showErrorMessage="1" sqref="H102:J104 N69:R70 F34 F37:F38 H86:I88" xr:uid="{A0352018-4A87-4339-B20C-844A6FDA9EE9}">
      <formula1>"Si,No"</formula1>
    </dataValidation>
    <dataValidation type="decimal" operator="greaterThan" allowBlank="1" showInputMessage="1" showErrorMessage="1" errorTitle="prova" error="prova" sqref="C17" xr:uid="{1283278C-D8AD-4135-8772-F464DFCEC02D}">
      <formula1>K17*0.1</formula1>
    </dataValidation>
    <dataValidation operator="greaterThan" allowBlank="1" showInputMessage="1" showErrorMessage="1" errorTitle="prova" error="prova" sqref="D17" xr:uid="{4D038163-F14A-4227-9061-81966661EE1A}"/>
    <dataValidation errorStyle="warning" operator="lessThanOrEqual" allowBlank="1" showInputMessage="1" showErrorMessage="1" errorTitle="Superamento Livello anticipo" error="Il valore richiesto è superiore al 40% previsto dalla normativa" sqref="E17" xr:uid="{D4A7E314-CB01-427D-B961-C319135F7D99}"/>
    <dataValidation type="list" allowBlank="1" showInputMessage="1" showErrorMessage="1" sqref="E80 I69:I70" xr:uid="{8E2369F6-881B-4AC3-BFE2-830B7134F87B}">
      <formula1>"SI,NO"</formula1>
    </dataValidation>
    <dataValidation type="list" allowBlank="1" showInputMessage="1" showErrorMessage="1" sqref="F41:F45 F48:F61" xr:uid="{40135A3F-6EEE-4703-B8DF-3EE1DB47DB8D}">
      <formula1>"Si,No,Non neces."</formula1>
    </dataValidation>
    <dataValidation type="list" allowBlank="1" showInputMessage="1" showErrorMessage="1" sqref="F33" xr:uid="{1B219057-6760-4C83-8BFA-B03277C0079B}">
      <formula1>"Si,No,"</formula1>
    </dataValidation>
    <dataValidation type="list" allowBlank="1" showInputMessage="1" showErrorMessage="1" sqref="H28:H29" xr:uid="{78462DF5-8E52-4655-859C-0C7BC2D5F598}">
      <formula1>"Digitale,Cartacea"</formula1>
    </dataValidation>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expression" priority="27" id="{BE009FA0-EEF8-46F5-BE29-2B9068D01CF2}">
            <xm:f>+IF(Anagrafica!$G$2="Capo III",1,0)</xm:f>
            <x14:dxf>
              <font>
                <b/>
                <i val="0"/>
              </font>
              <fill>
                <patternFill>
                  <bgColor theme="8" tint="0.59996337778862885"/>
                </patternFill>
              </fill>
              <border>
                <top style="thin">
                  <color auto="1"/>
                </top>
                <bottom style="thin">
                  <color auto="1"/>
                </bottom>
              </border>
            </x14:dxf>
          </x14:cfRule>
          <xm:sqref>B128</xm:sqref>
        </x14:conditionalFormatting>
        <x14:conditionalFormatting xmlns:xm="http://schemas.microsoft.com/office/excel/2006/main">
          <x14:cfRule type="expression" priority="24" id="{F9A643C1-5F0D-4B62-9F8A-F7CD03D801EB}">
            <xm:f>+IF(Anagrafica!$G$2="Capo III",1,0)</xm:f>
            <x14:dxf>
              <fill>
                <patternFill>
                  <bgColor theme="8" tint="0.59996337778862885"/>
                </patternFill>
              </fill>
            </x14:dxf>
          </x14:cfRule>
          <xm:sqref>C128:J128</xm:sqref>
        </x14:conditionalFormatting>
        <x14:conditionalFormatting xmlns:xm="http://schemas.microsoft.com/office/excel/2006/main">
          <x14:cfRule type="expression" priority="18" id="{3A9FCA0B-7795-4E55-BF32-94B080364E37}">
            <xm:f>+IF(Anagrafica!$G$2="Capo III",1,0)</xm:f>
            <x14:dxf>
              <font>
                <color theme="0"/>
              </font>
              <fill>
                <patternFill>
                  <bgColor theme="0"/>
                </patternFill>
              </fill>
              <border>
                <left/>
                <right/>
                <top/>
                <bottom/>
                <vertical/>
                <horizontal/>
              </border>
            </x14:dxf>
          </x14:cfRule>
          <xm:sqref>B129:J132</xm:sqref>
        </x14:conditionalFormatting>
        <x14:conditionalFormatting xmlns:xm="http://schemas.microsoft.com/office/excel/2006/main">
          <x14:cfRule type="expression" priority="17" id="{7DB86893-E4C7-4DD1-8164-9ED455DDF10D}">
            <xm:f>+IF(Anagrafica!$G$2="Capo III",1,0)</xm:f>
            <x14:dxf>
              <border>
                <left/>
                <right/>
                <top style="thin">
                  <color auto="1"/>
                </top>
                <bottom/>
                <vertical/>
                <horizontal/>
              </border>
            </x14:dxf>
          </x14:cfRule>
          <xm:sqref>B129:J129</xm:sqref>
        </x14:conditionalFormatting>
        <x14:conditionalFormatting xmlns:xm="http://schemas.microsoft.com/office/excel/2006/main">
          <x14:cfRule type="expression" priority="6" id="{AB82A14C-BC72-4540-A404-E8DCA285545C}">
            <xm:f>IF(Anagrafica!$C$38&lt;=150000,1,0)</xm:f>
            <x14:dxf>
              <font>
                <color theme="0"/>
              </font>
              <fill>
                <patternFill>
                  <bgColor theme="0"/>
                </patternFill>
              </fill>
              <border>
                <left/>
                <right/>
                <top/>
                <bottom/>
              </border>
            </x14:dxf>
          </x14:cfRule>
          <xm:sqref>B31:I34</xm:sqref>
        </x14:conditionalFormatting>
        <x14:conditionalFormatting xmlns:xm="http://schemas.microsoft.com/office/excel/2006/main">
          <x14:cfRule type="expression" priority="3" id="{9A896823-9491-4A4E-9905-175FFEEF553F}">
            <xm:f>+IF(Anagrafica!$C$42&lt;&gt;"n.a.",1,0)</xm:f>
            <x14:dxf>
              <border>
                <top style="dashed">
                  <color auto="1"/>
                </top>
                <vertical/>
                <horizontal/>
              </border>
            </x14:dxf>
          </x14:cfRule>
          <x14:cfRule type="expression" priority="5" id="{238DD291-0880-410D-AF24-8A9AC3F2ABB2}">
            <xm:f>+IF(Anagrafica!$C$42="n.a.",1,0)</xm:f>
            <x14:dxf>
              <font>
                <color theme="0"/>
              </font>
              <fill>
                <patternFill>
                  <bgColor theme="0"/>
                </patternFill>
              </fill>
              <border>
                <left/>
                <right/>
              </border>
            </x14:dxf>
          </x14:cfRule>
          <xm:sqref>B38:I38</xm:sqref>
        </x14:conditionalFormatting>
        <x14:conditionalFormatting xmlns:xm="http://schemas.microsoft.com/office/excel/2006/main">
          <x14:cfRule type="expression" priority="4" id="{2C865896-E51E-486B-A99F-B668EBECBAD6}">
            <xm:f>+IF(AND(Anagrafica!$C$41="n.a.",Anagrafica!$C$42="n.a."),1,0)</xm:f>
            <x14:dxf>
              <font>
                <color theme="0"/>
              </font>
              <fill>
                <patternFill>
                  <bgColor theme="0"/>
                </patternFill>
              </fill>
              <border>
                <left/>
                <right/>
                <bottom/>
                <vertical/>
                <horizontal/>
              </border>
            </x14:dxf>
          </x14:cfRule>
          <xm:sqref>B35:I38</xm:sqref>
        </x14:conditionalFormatting>
        <x14:conditionalFormatting xmlns:xm="http://schemas.microsoft.com/office/excel/2006/main">
          <x14:cfRule type="expression" priority="2" id="{8CB2EF3E-F65D-40C7-832F-15EE7205C091}">
            <xm:f>+IF(AND(Anagrafica!$C$41="n.a.",Anagrafica!$C$42="n.a."),1,0)</xm:f>
            <x14:dxf>
              <font>
                <color theme="0"/>
              </font>
              <fill>
                <patternFill>
                  <bgColor theme="0"/>
                </patternFill>
              </fill>
              <border>
                <left/>
                <right/>
                <top/>
                <bottom/>
                <vertical/>
                <horizontal/>
              </border>
            </x14:dxf>
          </x14:cfRule>
          <xm:sqref>B27:J29</xm:sqref>
        </x14:conditionalFormatting>
        <x14:conditionalFormatting xmlns:xm="http://schemas.microsoft.com/office/excel/2006/main">
          <x14:cfRule type="expression" priority="1" id="{C7BCBBBD-EBB0-49A9-ADE7-442BCDE44736}">
            <xm:f>+IF(Anagrafica!$C$42="n.a.",1,0)</xm:f>
            <x14:dxf>
              <font>
                <color theme="0"/>
              </font>
              <fill>
                <patternFill>
                  <bgColor theme="0"/>
                </patternFill>
              </fill>
              <border>
                <right/>
                <bottom/>
              </border>
            </x14:dxf>
          </x14:cfRule>
          <xm:sqref>C29:J29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4AAEA201-719C-422B-BF52-215CF317A3C1}">
          <x14:formula1>
            <xm:f>IF('Dati riepilogativi'!$B$2="Capo II",CAPOII_Att,CapoIII_ATT)</xm:f>
          </x14:formula1>
          <xm:sqref>J69:J70</xm:sqref>
        </x14:dataValidation>
      </x14:dataValidations>
    </ext>
  </extLst>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CF93B-A8D9-41AB-9188-05E8A3E09881}">
  <sheetPr codeName="Foglio30"/>
  <dimension ref="A1:L58"/>
  <sheetViews>
    <sheetView topLeftCell="A18" zoomScaleNormal="100" workbookViewId="0">
      <selection activeCell="B16" sqref="B16"/>
    </sheetView>
  </sheetViews>
  <sheetFormatPr defaultRowHeight="14.5" x14ac:dyDescent="0.35"/>
  <cols>
    <col min="1" max="1" width="9.1796875" style="902"/>
    <col min="2" max="2" width="20.7265625" style="902" customWidth="1"/>
    <col min="3" max="3" width="8" style="902" customWidth="1"/>
    <col min="4" max="5" width="10.453125" style="902" bestFit="1" customWidth="1"/>
    <col min="6" max="6" width="9.1796875" style="902"/>
    <col min="7" max="7" width="12" style="902" customWidth="1"/>
    <col min="8" max="8" width="17.453125" style="902" customWidth="1"/>
    <col min="12" max="12" width="13.26953125" bestFit="1" customWidth="1"/>
  </cols>
  <sheetData>
    <row r="1" spans="2:12" ht="15" thickBot="1" x14ac:dyDescent="0.4">
      <c r="B1" s="929" t="s">
        <v>2168</v>
      </c>
      <c r="C1" s="929"/>
      <c r="D1" s="929"/>
      <c r="E1" s="929"/>
      <c r="F1" s="929"/>
      <c r="G1" s="929"/>
      <c r="H1" s="929"/>
    </row>
    <row r="2" spans="2:12" ht="15" thickBot="1" x14ac:dyDescent="0.4">
      <c r="B2" s="2065" t="s">
        <v>2169</v>
      </c>
      <c r="C2" s="2066"/>
      <c r="D2" s="2067"/>
      <c r="E2" s="930" t="s">
        <v>2170</v>
      </c>
      <c r="F2" s="929"/>
      <c r="G2" s="929"/>
      <c r="H2" s="929"/>
    </row>
    <row r="3" spans="2:12" x14ac:dyDescent="0.35">
      <c r="B3" s="929"/>
      <c r="C3" s="929"/>
      <c r="D3" s="929"/>
      <c r="E3" s="929"/>
      <c r="F3" s="929"/>
      <c r="G3" s="929"/>
      <c r="H3" s="929"/>
    </row>
    <row r="4" spans="2:12" ht="15.5" x14ac:dyDescent="0.35">
      <c r="B4" s="903" t="str">
        <f>+CONCATENATE("Mandato di Erogazione 4° SAL PROT. ",C7)</f>
        <v>Mandato di Erogazione 4° SAL PROT. 0</v>
      </c>
      <c r="E4" s="931"/>
    </row>
    <row r="5" spans="2:12" x14ac:dyDescent="0.35">
      <c r="B5" s="902" t="s">
        <v>2171</v>
      </c>
    </row>
    <row r="6" spans="2:12" ht="15" thickBot="1" x14ac:dyDescent="0.4"/>
    <row r="7" spans="2:12" x14ac:dyDescent="0.35">
      <c r="B7" s="904" t="s">
        <v>2172</v>
      </c>
      <c r="C7" s="2068">
        <f>+Anagrafica!C2</f>
        <v>0</v>
      </c>
      <c r="D7" s="2068"/>
      <c r="E7" s="2068"/>
      <c r="F7" s="2068"/>
      <c r="G7" s="2068"/>
      <c r="H7" s="2069"/>
    </row>
    <row r="8" spans="2:12" x14ac:dyDescent="0.35">
      <c r="B8" s="905" t="s">
        <v>2173</v>
      </c>
      <c r="C8" s="2070">
        <f>+Anagrafica!C17</f>
        <v>0</v>
      </c>
      <c r="D8" s="2070"/>
      <c r="E8" s="2070"/>
      <c r="F8" s="2070"/>
      <c r="G8" s="2070"/>
      <c r="H8" s="2071"/>
    </row>
    <row r="9" spans="2:12" x14ac:dyDescent="0.35">
      <c r="B9" s="905" t="s">
        <v>2174</v>
      </c>
      <c r="C9" s="2070">
        <f>+Anagrafica!C18</f>
        <v>0</v>
      </c>
      <c r="D9" s="2070"/>
      <c r="E9" s="2070"/>
      <c r="F9" s="2070"/>
      <c r="G9" s="2070"/>
      <c r="H9" s="2071"/>
    </row>
    <row r="10" spans="2:12" x14ac:dyDescent="0.35">
      <c r="B10" s="905" t="s">
        <v>2175</v>
      </c>
      <c r="C10" s="2070">
        <f>+Anagrafica!C9</f>
        <v>0</v>
      </c>
      <c r="D10" s="2070"/>
      <c r="E10" s="2070"/>
      <c r="F10" s="2070"/>
      <c r="G10" s="2070"/>
      <c r="H10" s="2071"/>
    </row>
    <row r="11" spans="2:12" ht="29" x14ac:dyDescent="0.35">
      <c r="B11" s="1121" t="s">
        <v>2264</v>
      </c>
      <c r="C11" s="2223" t="str">
        <f>+Anagrafica!C24</f>
        <v>NIT2 - Fondo Unico - NIT 2.0</v>
      </c>
      <c r="D11" s="2224"/>
      <c r="E11" s="2224"/>
      <c r="F11" s="2224"/>
      <c r="G11" s="2224"/>
      <c r="H11" s="2225"/>
    </row>
    <row r="12" spans="2:12" ht="29.5" thickBot="1" x14ac:dyDescent="0.4">
      <c r="B12" s="906" t="s">
        <v>2265</v>
      </c>
      <c r="C12" s="2220" t="str">
        <f>+Anagrafica!C25</f>
        <v>NIT2 - NIT 2.0 - Fondo perduto</v>
      </c>
      <c r="D12" s="2221"/>
      <c r="E12" s="2221"/>
      <c r="F12" s="2221"/>
      <c r="G12" s="2221"/>
      <c r="H12" s="2222"/>
    </row>
    <row r="14" spans="2:12" x14ac:dyDescent="0.35">
      <c r="B14" s="2074" t="str" cm="1">
        <f t="array" aca="1" ref="B14" ca="1">+IFERROR(IF(+COUNTIF(Quietanzasal3,"NO")&gt;0,"Vista la proposta effettuata dalla SU IMPR2 si autorizza l'erogazione del 4° SAL su fatture quietanzate e non","Vista la proposta effettuata dalla SU IMPR2 si autorizza l'erogazione del 4° SAL su fatture quietanzate"),"")</f>
        <v/>
      </c>
      <c r="C14" s="2074"/>
      <c r="D14" s="2074"/>
      <c r="E14" s="2074"/>
      <c r="F14" s="2074"/>
      <c r="G14" s="2074"/>
      <c r="H14" s="2074"/>
    </row>
    <row r="15" spans="2:12" ht="21" customHeight="1" thickBot="1" x14ac:dyDescent="0.4">
      <c r="B15" s="2075"/>
      <c r="C15" s="2075"/>
      <c r="D15" s="2075"/>
      <c r="E15" s="2075"/>
      <c r="F15" s="2075"/>
      <c r="G15" s="2075"/>
      <c r="H15" s="2075"/>
    </row>
    <row r="16" spans="2:12" x14ac:dyDescent="0.35">
      <c r="B16" s="904" t="s">
        <v>2178</v>
      </c>
      <c r="C16" s="2076">
        <f ca="1">+'4 SAL'!F144</f>
        <v>0</v>
      </c>
      <c r="D16" s="2076"/>
      <c r="E16" s="2076"/>
      <c r="F16" s="2076"/>
      <c r="G16" s="2076"/>
      <c r="H16" s="2077"/>
      <c r="L16" s="813"/>
    </row>
    <row r="17" spans="2:8" ht="15" thickBot="1" x14ac:dyDescent="0.4">
      <c r="B17" s="2078" t="e" cm="1">
        <f t="array" aca="1" ref="B17" ca="1">+NumToLet(C16)</f>
        <v>#NAME?</v>
      </c>
      <c r="C17" s="2079"/>
      <c r="D17" s="2079"/>
      <c r="E17" s="2079"/>
      <c r="F17" s="2079"/>
      <c r="G17" s="2079"/>
      <c r="H17" s="2080"/>
    </row>
    <row r="18" spans="2:8" x14ac:dyDescent="0.35">
      <c r="B18" s="904" t="s">
        <v>2266</v>
      </c>
      <c r="C18" s="2076">
        <f ca="1">+'4 SAL'!F141</f>
        <v>0</v>
      </c>
      <c r="D18" s="2076"/>
      <c r="E18" s="2076"/>
      <c r="F18" s="2076"/>
      <c r="G18" s="2076"/>
      <c r="H18" s="2077"/>
    </row>
    <row r="19" spans="2:8" ht="15" thickBot="1" x14ac:dyDescent="0.4">
      <c r="B19" s="2078" t="e" cm="1">
        <f t="array" aca="1" ref="B19" ca="1">+NumToLet(C18)</f>
        <v>#NAME?</v>
      </c>
      <c r="C19" s="2079"/>
      <c r="D19" s="2079"/>
      <c r="E19" s="2079"/>
      <c r="F19" s="2079"/>
      <c r="G19" s="2079"/>
      <c r="H19" s="2080"/>
    </row>
    <row r="20" spans="2:8" x14ac:dyDescent="0.35">
      <c r="B20" s="904" t="s">
        <v>2267</v>
      </c>
      <c r="C20" s="2076">
        <f ca="1">+'4 SAL'!F143</f>
        <v>0</v>
      </c>
      <c r="D20" s="2076"/>
      <c r="E20" s="2076"/>
      <c r="F20" s="2076"/>
      <c r="G20" s="2076"/>
      <c r="H20" s="2077"/>
    </row>
    <row r="21" spans="2:8" ht="15" thickBot="1" x14ac:dyDescent="0.4">
      <c r="B21" s="2078" t="e" cm="1">
        <f t="array" aca="1" ref="B21" ca="1">+NumToLet(C20)</f>
        <v>#NAME?</v>
      </c>
      <c r="C21" s="2079"/>
      <c r="D21" s="2079"/>
      <c r="E21" s="2079"/>
      <c r="F21" s="2079"/>
      <c r="G21" s="2079"/>
      <c r="H21" s="2080"/>
    </row>
    <row r="22" spans="2:8" ht="15" thickBot="1" x14ac:dyDescent="0.4">
      <c r="B22" s="907" t="s">
        <v>2179</v>
      </c>
    </row>
    <row r="23" spans="2:8" x14ac:dyDescent="0.35">
      <c r="B23" s="908" t="s">
        <v>1875</v>
      </c>
      <c r="C23" s="2081">
        <f>+Anagrafica!C6</f>
        <v>0</v>
      </c>
      <c r="D23" s="2081"/>
      <c r="E23" s="2081"/>
      <c r="F23" s="2081"/>
      <c r="G23" s="2081"/>
      <c r="H23" s="2082"/>
    </row>
    <row r="24" spans="2:8" x14ac:dyDescent="0.35">
      <c r="B24" s="909" t="s">
        <v>2180</v>
      </c>
      <c r="C24" s="2083">
        <f>+Anagrafica!C7</f>
        <v>0</v>
      </c>
      <c r="D24" s="2083"/>
      <c r="E24" s="2083"/>
      <c r="F24" s="2083"/>
      <c r="G24" s="2083"/>
      <c r="H24" s="2084"/>
    </row>
    <row r="25" spans="2:8" x14ac:dyDescent="0.35">
      <c r="B25" s="909" t="s">
        <v>628</v>
      </c>
      <c r="C25" s="2083" t="str">
        <f>+Anagrafica!C8</f>
        <v>ROMA</v>
      </c>
      <c r="D25" s="2083"/>
      <c r="E25" s="2083"/>
      <c r="F25" s="2083"/>
      <c r="G25" s="2083"/>
      <c r="H25" s="2084"/>
    </row>
    <row r="26" spans="2:8" x14ac:dyDescent="0.35">
      <c r="B26" s="909" t="s">
        <v>2181</v>
      </c>
      <c r="C26" s="2083">
        <f>+Anagrafica!H7</f>
        <v>0</v>
      </c>
      <c r="D26" s="2083"/>
      <c r="E26" s="2083"/>
      <c r="F26" s="2083"/>
      <c r="G26" s="2083"/>
      <c r="H26" s="2084"/>
    </row>
    <row r="27" spans="2:8" x14ac:dyDescent="0.35">
      <c r="B27" s="909" t="s">
        <v>630</v>
      </c>
      <c r="C27" s="2083" t="str">
        <f>+Anagrafica!H8</f>
        <v>RM</v>
      </c>
      <c r="D27" s="2083"/>
      <c r="E27" s="2083"/>
      <c r="F27" s="2083"/>
      <c r="G27" s="2083"/>
      <c r="H27" s="2084"/>
    </row>
    <row r="28" spans="2:8" x14ac:dyDescent="0.35">
      <c r="B28" s="909" t="s">
        <v>2182</v>
      </c>
      <c r="C28" s="2083">
        <f>+Anagrafica!C11</f>
        <v>0</v>
      </c>
      <c r="D28" s="2083"/>
      <c r="E28" s="2083"/>
      <c r="F28" s="2083"/>
      <c r="G28" s="2083"/>
      <c r="H28" s="2084"/>
    </row>
    <row r="29" spans="2:8" ht="15" thickBot="1" x14ac:dyDescent="0.4">
      <c r="B29" s="910" t="s">
        <v>2183</v>
      </c>
      <c r="C29" s="2085">
        <f>+Anagrafica!C10</f>
        <v>0</v>
      </c>
      <c r="D29" s="2085"/>
      <c r="E29" s="2085"/>
      <c r="F29" s="2085"/>
      <c r="G29" s="2085"/>
      <c r="H29" s="2086"/>
    </row>
    <row r="30" spans="2:8" x14ac:dyDescent="0.35">
      <c r="D30" s="911"/>
    </row>
    <row r="31" spans="2:8" ht="15" thickBot="1" x14ac:dyDescent="0.4">
      <c r="B31" s="907" t="s">
        <v>2184</v>
      </c>
      <c r="D31" s="911"/>
    </row>
    <row r="32" spans="2:8" x14ac:dyDescent="0.35">
      <c r="B32" s="908" t="s">
        <v>1875</v>
      </c>
      <c r="C32" s="2087" t="str">
        <f>+Anagrafica!C46</f>
        <v>BANCA SELLA</v>
      </c>
      <c r="D32" s="2087"/>
      <c r="E32" s="2087"/>
      <c r="F32" s="2087"/>
      <c r="G32" s="2087"/>
      <c r="H32" s="2088"/>
    </row>
    <row r="33" spans="1:8" x14ac:dyDescent="0.35">
      <c r="B33" s="909" t="s">
        <v>2097</v>
      </c>
      <c r="C33" s="2072" t="str">
        <f>+Anagrafica!C47</f>
        <v>AGENZIA 30</v>
      </c>
      <c r="D33" s="2072"/>
      <c r="E33" s="2072"/>
      <c r="F33" s="2072"/>
      <c r="G33" s="2072"/>
      <c r="H33" s="2073"/>
    </row>
    <row r="34" spans="1:8" ht="15" thickBot="1" x14ac:dyDescent="0.4">
      <c r="B34" s="912" t="s">
        <v>630</v>
      </c>
      <c r="C34" s="2089" t="str">
        <f>+Anagrafica!C48</f>
        <v>XXXXXXXXXXXXXX</v>
      </c>
      <c r="D34" s="2089"/>
      <c r="E34" s="2089"/>
      <c r="F34" s="2089"/>
      <c r="G34" s="2089"/>
      <c r="H34" s="2090"/>
    </row>
    <row r="35" spans="1:8" ht="15" thickBot="1" x14ac:dyDescent="0.4"/>
    <row r="36" spans="1:8" ht="15" thickBot="1" x14ac:dyDescent="0.4">
      <c r="A36" s="913"/>
      <c r="B36" s="913"/>
      <c r="C36" s="913"/>
      <c r="D36" s="914" t="s">
        <v>2088</v>
      </c>
      <c r="E36" s="915" t="s">
        <v>2089</v>
      </c>
      <c r="F36" s="915" t="s">
        <v>2090</v>
      </c>
      <c r="G36" s="915" t="s">
        <v>2091</v>
      </c>
      <c r="H36" s="916" t="s">
        <v>2092</v>
      </c>
    </row>
    <row r="37" spans="1:8" ht="15" thickBot="1" x14ac:dyDescent="0.4">
      <c r="A37" s="913"/>
      <c r="B37" s="914" t="s">
        <v>2093</v>
      </c>
      <c r="C37" s="917" t="s">
        <v>2094</v>
      </c>
      <c r="D37" s="918">
        <f>+Anagrafica!D50</f>
        <v>0</v>
      </c>
      <c r="E37" s="918">
        <f>+Anagrafica!E50</f>
        <v>0</v>
      </c>
      <c r="F37" s="918">
        <f>+Anagrafica!F50</f>
        <v>0</v>
      </c>
      <c r="G37" s="918">
        <f>+Anagrafica!G50</f>
        <v>0</v>
      </c>
      <c r="H37" s="919">
        <f>+Anagrafica!H50</f>
        <v>0</v>
      </c>
    </row>
    <row r="39" spans="1:8" ht="15" thickBot="1" x14ac:dyDescent="0.4">
      <c r="B39" s="612" t="str">
        <f ca="1">+IFERROR(CONCATENATE(TEXT($C$18,"€ #.##0,00")," ", "da addebitare sul conto corrente della Fonte Finanziaria:"),"")</f>
        <v>€ 0,00 da addebitare sul conto corrente della Fonte Finanziaria:</v>
      </c>
    </row>
    <row r="40" spans="1:8" ht="15" customHeight="1" x14ac:dyDescent="0.35">
      <c r="B40" s="920" t="s">
        <v>2096</v>
      </c>
      <c r="C40" s="2091" t="str">
        <f ca="1">+IFERROR(+IF($C$18=0,"",VLOOKUP($C$11,'Fonti e cc'!$A$2:$I$5,2)),"")</f>
        <v/>
      </c>
      <c r="D40" s="2091"/>
      <c r="E40" s="2092"/>
    </row>
    <row r="41" spans="1:8" ht="15" thickBot="1" x14ac:dyDescent="0.4">
      <c r="B41" s="921" t="s">
        <v>2097</v>
      </c>
      <c r="C41" s="922" t="str">
        <f ca="1">+IF($C$18=0,"",VLOOKUP($C$11,'Fonti e cc'!$A$2:$I$5,3))</f>
        <v/>
      </c>
      <c r="D41" s="923" t="s">
        <v>2185</v>
      </c>
      <c r="E41" s="924" t="str">
        <f ca="1">+IFERROR(+IF($C$18=0,"","RM"),"")</f>
        <v/>
      </c>
    </row>
    <row r="42" spans="1:8" ht="15" thickBot="1" x14ac:dyDescent="0.4"/>
    <row r="43" spans="1:8" ht="15" thickBot="1" x14ac:dyDescent="0.4">
      <c r="B43" s="913"/>
      <c r="C43" s="913"/>
      <c r="D43" s="914" t="s">
        <v>2088</v>
      </c>
      <c r="E43" s="915" t="s">
        <v>2089</v>
      </c>
      <c r="F43" s="915" t="s">
        <v>2090</v>
      </c>
      <c r="G43" s="915" t="s">
        <v>2091</v>
      </c>
      <c r="H43" s="916" t="s">
        <v>2092</v>
      </c>
    </row>
    <row r="44" spans="1:8" ht="15" thickBot="1" x14ac:dyDescent="0.4">
      <c r="B44" s="914" t="s">
        <v>2093</v>
      </c>
      <c r="C44" s="917" t="s">
        <v>2094</v>
      </c>
      <c r="D44" s="918" t="str">
        <f ca="1">+IFERROR(+IF($C$18=0,"",VLOOKUP($C$11,'Fonti e cc'!$A$2:$I$5,5)),"")</f>
        <v/>
      </c>
      <c r="E44" s="918" t="str">
        <f ca="1">+IFERROR(+IF($C$18=0,"",VLOOKUP($C$11,'Fonti e cc'!$A$2:$I$5,6)),"")</f>
        <v/>
      </c>
      <c r="F44" s="918" t="str">
        <f ca="1">+IFERROR(+IF($C$18=0,"",VLOOKUP($C$11,'Fonti e cc'!$A$2:$I$5,7)),"")</f>
        <v/>
      </c>
      <c r="G44" s="918" t="str">
        <f ca="1">+IFERROR(+IF($C$18=0,"",VLOOKUP($C$11,'Fonti e cc'!$A$2:$I$5,8)),"")</f>
        <v/>
      </c>
      <c r="H44" s="919" t="str">
        <f ca="1">+IFERROR(+IF($C$18=0,"",VLOOKUP($C$11,'Fonti e cc'!$A$2:$I$5,9)),"")</f>
        <v/>
      </c>
    </row>
    <row r="45" spans="1:8" x14ac:dyDescent="0.35">
      <c r="B45" s="1164"/>
      <c r="C45" s="1184"/>
      <c r="D45" s="1164"/>
      <c r="E45" s="1164"/>
      <c r="F45" s="1164"/>
      <c r="G45" s="1164"/>
      <c r="H45" s="1165"/>
    </row>
    <row r="46" spans="1:8" ht="15" thickBot="1" x14ac:dyDescent="0.4">
      <c r="B46" s="612" t="str">
        <f ca="1">+IFERROR(CONCATENATE(TEXT($C$20,"€ #.##0,00")," ", "da addebitare sul conto corrente della Fonte Finanziaria:"),"")</f>
        <v>€ 0,00 da addebitare sul conto corrente della Fonte Finanziaria:</v>
      </c>
    </row>
    <row r="47" spans="1:8" x14ac:dyDescent="0.35">
      <c r="B47" s="920" t="s">
        <v>2096</v>
      </c>
      <c r="C47" s="2091" t="str">
        <f ca="1">+IFERROR(+IF($C$20=0,"",'Fonti e cc'!$B$6),"")</f>
        <v/>
      </c>
      <c r="D47" s="2091"/>
      <c r="E47" s="2092"/>
    </row>
    <row r="48" spans="1:8" ht="15" thickBot="1" x14ac:dyDescent="0.4">
      <c r="B48" s="921" t="s">
        <v>2097</v>
      </c>
      <c r="C48" s="922" t="str">
        <f ca="1">+IFERROR(+IF($C$20=0,"",'Fonti e cc'!$C$6),"")</f>
        <v/>
      </c>
      <c r="D48" s="923" t="s">
        <v>2185</v>
      </c>
      <c r="E48" s="924" t="str">
        <f ca="1">+IFERROR(+IF($C$20=0,"","MI"),"")</f>
        <v/>
      </c>
    </row>
    <row r="49" spans="2:8" ht="15" thickBot="1" x14ac:dyDescent="0.4"/>
    <row r="50" spans="2:8" ht="15" thickBot="1" x14ac:dyDescent="0.4">
      <c r="B50" s="913"/>
      <c r="C50" s="913"/>
      <c r="D50" s="914" t="s">
        <v>2088</v>
      </c>
      <c r="E50" s="915" t="s">
        <v>2089</v>
      </c>
      <c r="F50" s="915" t="s">
        <v>2090</v>
      </c>
      <c r="G50" s="915" t="s">
        <v>2091</v>
      </c>
      <c r="H50" s="916" t="s">
        <v>2092</v>
      </c>
    </row>
    <row r="51" spans="2:8" ht="15" thickBot="1" x14ac:dyDescent="0.4">
      <c r="B51" s="914" t="s">
        <v>2093</v>
      </c>
      <c r="C51" s="917" t="s">
        <v>2094</v>
      </c>
      <c r="D51" s="918" t="str">
        <f ca="1">++IFERROR(+IF($C$20=0,"",'Fonti e cc'!$E$6),"")</f>
        <v/>
      </c>
      <c r="E51" s="918" t="str">
        <f ca="1">+IFERROR(+IF($C$20=0,"",'Fonti e cc'!$F$6),"")</f>
        <v/>
      </c>
      <c r="F51" s="918" t="str">
        <f ca="1">+IFERROR(+IF($C$20=0,"",'Fonti e cc'!$G$6),"")</f>
        <v/>
      </c>
      <c r="G51" s="918" t="str">
        <f ca="1">+IFERROR(+IF($C$20=0,"",'Fonti e cc'!$H$6),"")</f>
        <v/>
      </c>
      <c r="H51" s="919" t="str">
        <f ca="1">+IFERROR(+IF($C$20=0,"",'Fonti e cc'!$I$6),"")</f>
        <v/>
      </c>
    </row>
    <row r="52" spans="2:8" ht="15" thickBot="1" x14ac:dyDescent="0.4"/>
    <row r="53" spans="2:8" ht="15" thickBot="1" x14ac:dyDescent="0.4">
      <c r="B53" s="2093" t="s">
        <v>2169</v>
      </c>
      <c r="C53" s="2094"/>
      <c r="D53" s="2094"/>
      <c r="E53" s="2094"/>
      <c r="F53" s="925" t="str">
        <f>+E2</f>
        <v>No</v>
      </c>
    </row>
    <row r="55" spans="2:8" x14ac:dyDescent="0.35">
      <c r="F55" s="2095" t="s">
        <v>2186</v>
      </c>
      <c r="G55" s="2095"/>
      <c r="H55" s="2095"/>
    </row>
    <row r="57" spans="2:8" x14ac:dyDescent="0.35">
      <c r="F57" s="2095" t="s">
        <v>2187</v>
      </c>
      <c r="G57" s="2095"/>
      <c r="H57" s="2095"/>
    </row>
    <row r="58" spans="2:8" x14ac:dyDescent="0.35">
      <c r="G58" s="902" t="s">
        <v>2186</v>
      </c>
    </row>
  </sheetData>
  <mergeCells count="29">
    <mergeCell ref="C12:H12"/>
    <mergeCell ref="B2:D2"/>
    <mergeCell ref="C7:H7"/>
    <mergeCell ref="C8:H8"/>
    <mergeCell ref="C9:H9"/>
    <mergeCell ref="C10:H10"/>
    <mergeCell ref="C11:H11"/>
    <mergeCell ref="C27:H27"/>
    <mergeCell ref="B14:H15"/>
    <mergeCell ref="C16:H16"/>
    <mergeCell ref="B17:H17"/>
    <mergeCell ref="C18:H18"/>
    <mergeCell ref="B19:H19"/>
    <mergeCell ref="C20:H20"/>
    <mergeCell ref="B21:H21"/>
    <mergeCell ref="C23:H23"/>
    <mergeCell ref="C24:H24"/>
    <mergeCell ref="C25:H25"/>
    <mergeCell ref="C26:H26"/>
    <mergeCell ref="B53:E53"/>
    <mergeCell ref="F55:H55"/>
    <mergeCell ref="F57:H57"/>
    <mergeCell ref="C28:H28"/>
    <mergeCell ref="C29:H29"/>
    <mergeCell ref="C32:H32"/>
    <mergeCell ref="C33:H33"/>
    <mergeCell ref="C34:H34"/>
    <mergeCell ref="C40:E40"/>
    <mergeCell ref="C47:E47"/>
  </mergeCells>
  <dataValidations disablePrompts="1" count="8">
    <dataValidation type="textLength" errorStyle="information" operator="equal" allowBlank="1" showInputMessage="1" showErrorMessage="1" errorTitle="Numero dati sbagliato" error="Devono essere 5 cifre" sqref="C26:H26" xr:uid="{78A164B4-D364-4B0E-9975-6926221D0AAA}">
      <formula1>5</formula1>
    </dataValidation>
    <dataValidation type="textLength" errorStyle="information" operator="equal" allowBlank="1" showInputMessage="1" showErrorMessage="1" errorTitle="Numero dati sbagliato" error="Devono essere 11 cifre" sqref="C28:H29" xr:uid="{57583CDD-09BF-40BF-9450-C32B3E8C39C7}">
      <formula1>11</formula1>
    </dataValidation>
    <dataValidation type="textLength" errorStyle="information" operator="equal" allowBlank="1" showInputMessage="1" showErrorMessage="1" errorTitle="Numero dati Sbagliati" error="Devono essere 12 cifre_x000a_" sqref="H37 H44:H45 H51" xr:uid="{5A5F32E2-FCF3-4950-8422-F126A1F46913}">
      <formula1>12</formula1>
    </dataValidation>
    <dataValidation type="textLength" errorStyle="information" operator="equal" allowBlank="1" showInputMessage="1" showErrorMessage="1" errorTitle="Numero dati Sbagliati" error="Devono essere 2 cifre" sqref="D37 D44:D45 D51" xr:uid="{A2C14B84-E625-4143-9555-21E21741A5C2}">
      <formula1>2</formula1>
    </dataValidation>
    <dataValidation type="textLength" errorStyle="information" operator="equal" allowBlank="1" showInputMessage="1" showErrorMessage="1" errorTitle="Numero dati Sbagliati" error="Deve essere 1 cifra" sqref="E37 E44:E45 E51" xr:uid="{7CE23993-FA92-4220-9716-3BDC5C1407B5}">
      <formula1>1</formula1>
    </dataValidation>
    <dataValidation type="textLength" errorStyle="information" operator="equal" allowBlank="1" showInputMessage="1" showErrorMessage="1" errorTitle="Numero dati Sbagliati" error="Devono essere 5 cifre" sqref="F37:G37 F44:G45 F51:G51" xr:uid="{DDBED310-D59E-46F2-936E-3F67E9A7BCCD}">
      <formula1>5</formula1>
    </dataValidation>
    <dataValidation allowBlank="1" showInputMessage="1" showErrorMessage="1" promptTitle="Dato utile" prompt="Via e civico" sqref="C24:H24" xr:uid="{3601C4C3-CE30-47E1-8AC7-5E5E14877B22}"/>
    <dataValidation type="list" allowBlank="1" showInputMessage="1" showErrorMessage="1" sqref="E2" xr:uid="{D3AD35E5-C705-4F55-A371-6C75C5A4B522}">
      <formula1>"No,Si,"</formula1>
    </dataValidation>
  </dataValidations>
  <pageMargins left="0.7" right="0.7" top="0.75" bottom="0.75" header="0.3" footer="0.3"/>
  <pageSetup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2337" r:id="rId4" name="Button 1">
              <controlPr defaultSize="0" print="0" autoFill="0" autoPict="0" macro="[0]!Mandato_4_SAL">
                <anchor moveWithCells="1" sizeWithCells="1">
                  <from>
                    <xdr:col>9</xdr:col>
                    <xdr:colOff>488950</xdr:colOff>
                    <xdr:row>1</xdr:row>
                    <xdr:rowOff>107950</xdr:rowOff>
                  </from>
                  <to>
                    <xdr:col>11</xdr:col>
                    <xdr:colOff>831850</xdr:colOff>
                    <xdr:row>5</xdr:row>
                    <xdr:rowOff>69850</xdr:rowOff>
                  </to>
                </anchor>
              </controlPr>
            </control>
          </mc:Choice>
        </mc:AlternateContent>
      </controls>
    </mc:Choice>
  </mc:AlternateConten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06FB0-EE29-498D-8869-2EB0E0411D6A}">
  <sheetPr codeName="Foglio41"/>
  <dimension ref="B2:U13"/>
  <sheetViews>
    <sheetView workbookViewId="0">
      <selection activeCell="BO33" sqref="BO33"/>
    </sheetView>
  </sheetViews>
  <sheetFormatPr defaultRowHeight="14.5" x14ac:dyDescent="0.35"/>
  <cols>
    <col min="2" max="2" width="27" customWidth="1"/>
    <col min="3" max="3" width="14.7265625" customWidth="1"/>
    <col min="4" max="4" width="14.7265625" bestFit="1" customWidth="1"/>
    <col min="5" max="5" width="15.453125" customWidth="1"/>
    <col min="6" max="6" width="14.7265625" customWidth="1"/>
    <col min="7" max="7" width="15.81640625" customWidth="1"/>
    <col min="8" max="9" width="14.453125" customWidth="1"/>
    <col min="10" max="10" width="39.453125" customWidth="1"/>
    <col min="11" max="11" width="12.54296875" customWidth="1"/>
    <col min="12" max="12" width="13.7265625" customWidth="1"/>
    <col min="13" max="13" width="14.1796875" customWidth="1"/>
    <col min="14" max="14" width="12.26953125" customWidth="1"/>
    <col min="15" max="15" width="19.453125" customWidth="1"/>
  </cols>
  <sheetData>
    <row r="2" spans="2:21" ht="15" thickBot="1" x14ac:dyDescent="0.4"/>
    <row r="3" spans="2:21" ht="15" thickBot="1" x14ac:dyDescent="0.4">
      <c r="B3" s="989"/>
      <c r="C3" s="2202" t="s">
        <v>2245</v>
      </c>
      <c r="D3" s="2203"/>
      <c r="E3" s="2204" t="s">
        <v>2246</v>
      </c>
      <c r="F3" s="2205"/>
      <c r="G3" s="2205"/>
      <c r="H3" s="2205"/>
      <c r="I3" s="2206"/>
      <c r="J3" s="989"/>
    </row>
    <row r="4" spans="2:21" ht="46.5" thickBot="1" x14ac:dyDescent="0.4">
      <c r="B4" s="1088" t="s">
        <v>2067</v>
      </c>
      <c r="C4" s="999" t="s">
        <v>2068</v>
      </c>
      <c r="D4" s="1081" t="s">
        <v>2069</v>
      </c>
      <c r="E4" s="1074" t="s">
        <v>2247</v>
      </c>
      <c r="F4" s="1000" t="s">
        <v>2226</v>
      </c>
      <c r="G4" s="1025" t="s">
        <v>2069</v>
      </c>
      <c r="H4" s="1000" t="s">
        <v>2248</v>
      </c>
      <c r="I4" s="1081" t="s">
        <v>2249</v>
      </c>
      <c r="J4" s="1081" t="s">
        <v>2250</v>
      </c>
      <c r="K4" s="1191" t="s">
        <v>2257</v>
      </c>
      <c r="L4" s="1000" t="s">
        <v>2258</v>
      </c>
      <c r="M4" s="1000" t="s">
        <v>2259</v>
      </c>
      <c r="N4" s="1000" t="s">
        <v>2260</v>
      </c>
      <c r="O4" s="1000" t="s">
        <v>2261</v>
      </c>
      <c r="R4" s="1194" t="s">
        <v>402</v>
      </c>
      <c r="S4" s="1194" t="s">
        <v>2069</v>
      </c>
      <c r="T4" s="1194" t="s">
        <v>2262</v>
      </c>
      <c r="U4" s="1194" t="s">
        <v>2263</v>
      </c>
    </row>
    <row r="5" spans="2:21" ht="29" x14ac:dyDescent="0.35">
      <c r="B5" s="1089" t="str">
        <f>+IF(Anagrafica!$G$2="Capo II","Opere murarie e assimilate","Acquisto immobile sede dell'attività")</f>
        <v>Acquisto immobile sede dell'attività</v>
      </c>
      <c r="C5" s="1101">
        <f ca="1">+Anagrafica!$I$30</f>
        <v>0</v>
      </c>
      <c r="D5" s="1102">
        <f ca="1">+Anagrafica!$J$30</f>
        <v>0</v>
      </c>
      <c r="E5" s="1098" t="e" cm="1">
        <f t="array" aca="1" ref="E5" ca="1">+SUMIF(Categoriesal3,B5,Imponibilesal3)</f>
        <v>#REF!</v>
      </c>
      <c r="F5" s="1009" t="e" cm="1">
        <f t="array" aca="1" ref="F5" ca="1">+SUMIF(Categoriesal3,B5,Realizzatosal3)</f>
        <v>#REF!</v>
      </c>
      <c r="G5" s="1009" t="e" cm="1">
        <f t="array" aca="1" ref="G5" ca="1">+SUMIF(Categoriesal3,B5,Ammessosal3)</f>
        <v>#REF!</v>
      </c>
      <c r="H5" s="1009" t="str">
        <f ca="1">IFERROR(+G5*Anagrafica!$F$38,"")</f>
        <v/>
      </c>
      <c r="I5" s="1015">
        <v>0</v>
      </c>
      <c r="J5" s="1107" t="e">
        <f ca="1">+IF(C5-F5-'1 SAL'!$F$110&lt;0,0,C5-F5-'1 SAL'!$F$110)</f>
        <v>#REF!</v>
      </c>
      <c r="K5" s="1192">
        <f ca="1">SUMIF(R:R,B5,U:U)</f>
        <v>0</v>
      </c>
      <c r="L5" s="1214">
        <v>0</v>
      </c>
      <c r="M5" s="264" t="e">
        <f ca="1">+K5*Anagrafica!F38</f>
        <v>#DIV/0!</v>
      </c>
      <c r="N5" s="264">
        <f>+I5-L5</f>
        <v>0</v>
      </c>
      <c r="O5" s="264" t="e">
        <f ca="1">+H5-M5</f>
        <v>#VALUE!</v>
      </c>
      <c r="R5" t="e" cm="1">
        <f t="array" aca="1" ref="R5" ca="1">+Categoriesal3</f>
        <v>#REF!</v>
      </c>
      <c r="S5" t="e" cm="1">
        <f t="array" aca="1" ref="S5" ca="1">+Ammessosal3</f>
        <v>#REF!</v>
      </c>
      <c r="T5" t="e" cm="1">
        <f t="array" aca="1" ref="T5" ca="1">+Quietanzasal3</f>
        <v>#REF!</v>
      </c>
      <c r="U5" t="e" cm="1">
        <f t="array" aca="1" ref="U5" ca="1">IF(+Quietanzasal3="si",1,0)*Ammessosal3</f>
        <v>#REF!</v>
      </c>
    </row>
    <row r="6" spans="2:21" x14ac:dyDescent="0.35">
      <c r="B6" s="1090" t="str">
        <f>+IF(Anagrafica!$G$2="Capo II","Macchinari, impianti ed attrezzature","Opere murarie e assimilate")</f>
        <v>Opere murarie e assimilate</v>
      </c>
      <c r="C6" s="1103">
        <f ca="1">+Anagrafica!$I$31</f>
        <v>0</v>
      </c>
      <c r="D6" s="1016">
        <f>+Anagrafica!$J$31</f>
        <v>0</v>
      </c>
      <c r="E6" s="1098" t="e" cm="1">
        <f t="array" aca="1" ref="E6" ca="1">+SUMIF(Categoriesal3,B6,Imponibilesal3)</f>
        <v>#REF!</v>
      </c>
      <c r="F6" s="1009" t="e" cm="1">
        <f t="array" aca="1" ref="F6" ca="1">+SUMIF(Categoriesal3,B6,Realizzatosal3)</f>
        <v>#REF!</v>
      </c>
      <c r="G6" s="1009" t="e" cm="1">
        <f t="array" aca="1" ref="G6" ca="1">+SUMIF(Categoriesal3,B6,Ammessosal3)</f>
        <v>#REF!</v>
      </c>
      <c r="H6" s="1010" t="e">
        <f ca="1">+IF(Anagrafica!$G$2="Capo II",(G6*Anagrafica!$F$38-I6),G6*Anagrafica!$F$38)</f>
        <v>#REF!</v>
      </c>
      <c r="I6" s="1016">
        <f ca="1">+IFERROR((G6/'Calcolo contributo CAPO II'!$C$23)*Anagrafica!$C$37,0)</f>
        <v>0</v>
      </c>
      <c r="J6" s="1107" t="e">
        <f ca="1">+IF(C6-F6-'1 SAL'!$F$111&lt;0,0,C6-F6-'1 SAL'!$F$111)</f>
        <v>#REF!</v>
      </c>
      <c r="K6" s="1192">
        <f ca="1">SUMIF(R:R,B6,U:U)</f>
        <v>0</v>
      </c>
      <c r="L6" s="779">
        <f ca="1">+IFERROR((K6/'Calcolo contributo CAPO II'!$C$23)*Anagrafica!$C$37,0)</f>
        <v>0</v>
      </c>
      <c r="M6" s="779" t="e">
        <f ca="1">+IF(Anagrafica!$G$2="Capo II",(K6*Anagrafica!$F$38-L6),K6*Anagrafica!$F$38)</f>
        <v>#DIV/0!</v>
      </c>
      <c r="N6" s="264">
        <f ca="1">+I6-L6</f>
        <v>0</v>
      </c>
      <c r="O6" s="264" t="e">
        <f ca="1">+H6-M6</f>
        <v>#REF!</v>
      </c>
    </row>
    <row r="7" spans="2:21" ht="29" x14ac:dyDescent="0.35">
      <c r="B7" s="1091" t="str">
        <f>+IF(Anagrafica!$G$2="Capo II","Programmi informatici e servizi per le tecnologie dell’informazione e della comunicazione","Macchinari, impianti ed attrezzature")</f>
        <v>Macchinari, impianti ed attrezzature</v>
      </c>
      <c r="C7" s="1103">
        <f ca="1">+Anagrafica!$I$32</f>
        <v>10000</v>
      </c>
      <c r="D7" s="1016">
        <f>+Anagrafica!$J$32</f>
        <v>0</v>
      </c>
      <c r="E7" s="1098" t="e" cm="1">
        <f t="array" aca="1" ref="E7" ca="1">+SUMIF(Categoriesal3,B7,Imponibilesal3)</f>
        <v>#REF!</v>
      </c>
      <c r="F7" s="1009" t="e" cm="1">
        <f t="array" aca="1" ref="F7" ca="1">+SUMIF(Categoriesal3,B7,Realizzatosal3)</f>
        <v>#REF!</v>
      </c>
      <c r="G7" s="1009" t="e" cm="1">
        <f t="array" aca="1" ref="G7" ca="1">+SUMIF(Categoriesal3,B7,Ammessosal3)</f>
        <v>#REF!</v>
      </c>
      <c r="H7" s="1010" t="e">
        <f ca="1">+(G7*Anagrafica!$F$38-I7)</f>
        <v>#REF!</v>
      </c>
      <c r="I7" s="1016" t="e">
        <f ca="1">IF(Anagrafica!$G$2="Capo II",(G7/'Calcolo contributo CAPO II'!$C$23)*Anagrafica!$C$37,G7/(GBER!$C$11+GBER!$C$13)*Anagrafica!$C$37)</f>
        <v>#REF!</v>
      </c>
      <c r="J7" s="1107" t="e">
        <f ca="1">+IF(C7-F7-'1 SAL'!$F$112&lt;0,0,C7-F7-'1 SAL'!$F$112)</f>
        <v>#REF!</v>
      </c>
      <c r="K7" s="1192">
        <f ca="1">SUMIF(R:R,B7,U:U)</f>
        <v>0</v>
      </c>
      <c r="L7" s="264" t="e">
        <f ca="1">IF(Anagrafica!$G$2="Capo II",(K7/'Calcolo contributo CAPO II'!$C$23)*Anagrafica!$C$37,K7/(GBER!$C$11+GBER!$C$13)*Anagrafica!$C$37)</f>
        <v>#DIV/0!</v>
      </c>
      <c r="M7" s="264" t="e">
        <f ca="1">+(K7*Anagrafica!$F$38-L7)</f>
        <v>#DIV/0!</v>
      </c>
      <c r="N7" s="264" t="e">
        <f ca="1">+I7-L7</f>
        <v>#REF!</v>
      </c>
      <c r="O7" s="264" t="e">
        <f ca="1">+H7-M7</f>
        <v>#REF!</v>
      </c>
    </row>
    <row r="8" spans="2:21" ht="29" x14ac:dyDescent="0.35">
      <c r="B8" s="1091" t="str">
        <f>+IF(Anagrafica!$G$2="Capo II","Acquisto di brevetti o acquisizione di relative licenze d’uso","Programmi informatici, brevetti, licenze e marchi")</f>
        <v>Programmi informatici, brevetti, licenze e marchi</v>
      </c>
      <c r="C8" s="1103">
        <f ca="1">+Anagrafica!$I$33</f>
        <v>0</v>
      </c>
      <c r="D8" s="1016">
        <f ca="1">+Anagrafica!$J$33</f>
        <v>0</v>
      </c>
      <c r="E8" s="1098" t="e" cm="1">
        <f t="array" aca="1" ref="E8" ca="1">+SUMIF(Categoriesal3,B8,Imponibilesal3)</f>
        <v>#REF!</v>
      </c>
      <c r="F8" s="1009" t="e" cm="1">
        <f t="array" aca="1" ref="F8" ca="1">+SUMIF(Categoriesal3,B8,Realizzatosal3)</f>
        <v>#REF!</v>
      </c>
      <c r="G8" s="1009" t="e" cm="1">
        <f t="array" aca="1" ref="G8" ca="1">+SUMIF(Categoriesal3,B8,Ammessosal3)</f>
        <v>#REF!</v>
      </c>
      <c r="H8" s="1010" t="e">
        <f ca="1">+G8*Anagrafica!$F$38-I8</f>
        <v>#REF!</v>
      </c>
      <c r="I8" s="1016" t="e">
        <f ca="1">IF(Anagrafica!$G$2="Capo II",(G8/'Calcolo contributo CAPO II'!$C$23)*Anagrafica!$C$37,G8/(GBER!$C$11+GBER!$C$13)*Anagrafica!$C$37)</f>
        <v>#REF!</v>
      </c>
      <c r="J8" s="1107" t="e">
        <f ca="1">+IF(C8-F8-'1 SAL'!$F$113&lt;0,0,C8-F8-'1 SAL'!$F$113)</f>
        <v>#REF!</v>
      </c>
      <c r="K8" s="1192">
        <f t="shared" ref="K8" ca="1" si="0">SUMIF(R:R,B8,U:U)</f>
        <v>0</v>
      </c>
      <c r="L8" s="264" t="e">
        <f ca="1">IF(Anagrafica!$G$2="Capo II",(K8/'Calcolo contributo CAPO II'!$C$23)*Anagrafica!$C$37,K8/(GBER!$C$11+GBER!$C$13)*Anagrafica!$C$37)</f>
        <v>#DIV/0!</v>
      </c>
      <c r="M8" s="264" t="e">
        <f ca="1">+(K8*Anagrafica!$F$38-L8)</f>
        <v>#DIV/0!</v>
      </c>
      <c r="N8" s="264" t="e">
        <f t="shared" ref="N8" ca="1" si="1">+I8-L8</f>
        <v>#REF!</v>
      </c>
      <c r="O8" s="264" t="e">
        <f ca="1">+H8-M8</f>
        <v>#REF!</v>
      </c>
    </row>
    <row r="9" spans="2:21" ht="29" x14ac:dyDescent="0.35">
      <c r="B9" s="1091" t="str">
        <f>+IF(Anagrafica!$G$2="Capo II","Consulenze specialistiche","TOTALE PROGRAMMA DI SPESA")</f>
        <v>TOTALE PROGRAMMA DI SPESA</v>
      </c>
      <c r="C9" s="1103">
        <f ca="1">+Anagrafica!$I$34</f>
        <v>10000</v>
      </c>
      <c r="D9" s="1016">
        <f ca="1">+Anagrafica!$J$34</f>
        <v>0</v>
      </c>
      <c r="E9" s="1098" t="e" cm="1">
        <f t="array" aca="1" ref="E9" ca="1">+SUMIF(Categoriesal3,B9,Imponibilesal3)</f>
        <v>#REF!</v>
      </c>
      <c r="F9" s="1009" t="e" cm="1">
        <f t="array" aca="1" ref="F9" ca="1">+SUMIF(Categoriesal3,B9,Realizzatosal3)</f>
        <v>#REF!</v>
      </c>
      <c r="G9" s="1009" t="e" cm="1">
        <f t="array" aca="1" ref="G9" ca="1">+SUMIF(Categoriesal3,B9,Ammessosal3)</f>
        <v>#REF!</v>
      </c>
      <c r="H9" s="1010">
        <f ca="1">IFERROR(IF(Anagrafica!$G$2="Capo II",+G9*Anagrafica!$F$38,SUM(H5:H8)),0)</f>
        <v>0</v>
      </c>
      <c r="I9" s="1016">
        <f ca="1">IFERROR(IF(Anagrafica!$G$2="Capo II",0,SUM(I5:I8)),0)</f>
        <v>0</v>
      </c>
      <c r="J9" s="1107" t="e">
        <f ca="1">+IF(C9-F9-'1 SAL'!$F$114&lt;0,0,C9-F9-'1 SAL'!$F$114)</f>
        <v>#REF!</v>
      </c>
      <c r="K9" s="1192">
        <f ca="1">IF(Anagrafica!$G$2="Capo II",SUMIF(R:R,B9,U:U),SUM(K5:K8))</f>
        <v>0</v>
      </c>
      <c r="L9" s="264">
        <f ca="1">IFERROR(IF(Anagrafica!$G$2="Capo II",0,SUM(L5:L8)),0)</f>
        <v>0</v>
      </c>
      <c r="M9" s="264">
        <f ca="1">IFERROR(IF(Anagrafica!$G$2="Capo II",+K9*Anagrafica!$F$38,SUM(M5:M8)),0)</f>
        <v>0</v>
      </c>
      <c r="N9" s="264">
        <f ca="1">IFERROR(IF(Anagrafica!$G$2="Capo II",+I9-L9,SUM(N5:N8)),0)</f>
        <v>0</v>
      </c>
      <c r="O9" s="264">
        <f ca="1">+IFERROR(IF(Anagrafica!$G$2="Capo II",+H9-M9,SUM(O5:O8)),0)</f>
        <v>0</v>
      </c>
    </row>
    <row r="10" spans="2:21" ht="15" thickBot="1" x14ac:dyDescent="0.4">
      <c r="B10" s="1092" t="str">
        <f>+IF(Anagrafica!$G$2="Capo II","Oneri notarili connessi alla stipula del contratto di finanziamento ed oneri connessi alla costituzione della società","")</f>
        <v/>
      </c>
      <c r="C10" s="1104" t="str">
        <f>+Anagrafica!$I$35</f>
        <v/>
      </c>
      <c r="D10" s="1027" t="str">
        <f>+Anagrafica!$J$35</f>
        <v/>
      </c>
      <c r="E10" s="1098" t="e" cm="1">
        <f t="array" aca="1" ref="E10" ca="1">+SUMIF(Categoriesal3,B10,Imponibilesal3)</f>
        <v>#REF!</v>
      </c>
      <c r="F10" s="1009" t="e" cm="1">
        <f t="array" aca="1" ref="F10" ca="1">+SUMIF(Categoriesal3,B10,Realizzatosal3)</f>
        <v>#REF!</v>
      </c>
      <c r="G10" s="1009" t="e" cm="1">
        <f t="array" aca="1" ref="G10" ca="1">+SUMIF(Categoriesal3,B10,Ammessosal3)</f>
        <v>#REF!</v>
      </c>
      <c r="H10" s="1009" t="str">
        <f ca="1">IFERROR(+G10*Anagrafica!$F$38,"")</f>
        <v/>
      </c>
      <c r="I10" s="1027">
        <v>0</v>
      </c>
      <c r="J10" s="1082" t="e">
        <f ca="1">+IF(C10-F10-'1 SAL'!$F$115&lt;0,0,C10-F10-'1 SAL'!$F$115)</f>
        <v>#VALUE!</v>
      </c>
      <c r="K10" s="1192">
        <f ca="1">SUMIF(R:R,B10,U:U)</f>
        <v>0</v>
      </c>
      <c r="L10" s="1206">
        <v>0</v>
      </c>
      <c r="M10" s="264" t="e">
        <f ca="1">K10*Anagrafica!F38</f>
        <v>#DIV/0!</v>
      </c>
      <c r="N10">
        <v>0</v>
      </c>
      <c r="O10">
        <v>0</v>
      </c>
    </row>
    <row r="11" spans="2:21" ht="15" thickBot="1" x14ac:dyDescent="0.4">
      <c r="B11" s="1093" t="str">
        <f>+IF(Anagrafica!$G$2="Capo II","TOTALE INVESTIMENTO","")</f>
        <v/>
      </c>
      <c r="C11" s="1105" t="str">
        <f>+Anagrafica!$I$36</f>
        <v/>
      </c>
      <c r="D11" s="1106" t="str">
        <f>+Anagrafica!$J$36</f>
        <v/>
      </c>
      <c r="E11" s="1099" t="e">
        <f t="shared" ref="E11:G11" ca="1" si="2">+SUM(E5:E10)</f>
        <v>#REF!</v>
      </c>
      <c r="F11" s="1013" t="e">
        <f t="shared" ca="1" si="2"/>
        <v>#REF!</v>
      </c>
      <c r="G11" s="1013" t="e">
        <f t="shared" ca="1" si="2"/>
        <v>#REF!</v>
      </c>
      <c r="H11" s="1013" t="e">
        <f ca="1">+SUM(H5:H10)</f>
        <v>#REF!</v>
      </c>
      <c r="I11" s="1017" t="e">
        <f ca="1">+SUM(I5:I10)</f>
        <v>#REF!</v>
      </c>
      <c r="J11" s="1108" t="e">
        <f ca="1">+SUM(J5:J10)</f>
        <v>#REF!</v>
      </c>
      <c r="K11" s="1108">
        <f t="shared" ref="K11:O11" ca="1" si="3">+SUM(K5:K10)</f>
        <v>0</v>
      </c>
      <c r="L11" s="1108" t="e">
        <f t="shared" ca="1" si="3"/>
        <v>#DIV/0!</v>
      </c>
      <c r="M11" s="1108" t="e">
        <f ca="1">+SUM(M5:M10)</f>
        <v>#DIV/0!</v>
      </c>
      <c r="N11" s="1195" t="e">
        <f ca="1">+SUM(N5:N10)</f>
        <v>#REF!</v>
      </c>
      <c r="O11" s="1195" t="e">
        <f t="shared" ca="1" si="3"/>
        <v>#VALUE!</v>
      </c>
    </row>
    <row r="12" spans="2:21" ht="15" thickBot="1" x14ac:dyDescent="0.4">
      <c r="B12" s="1092" t="str">
        <f>+IF(Anagrafica!$G$2="Capo II","Capitale circolante","")</f>
        <v/>
      </c>
      <c r="C12" s="1104">
        <f>+Anagrafica!$C$31</f>
        <v>0</v>
      </c>
      <c r="D12" s="1027">
        <f>+Anagrafica!$C$31</f>
        <v>0</v>
      </c>
      <c r="E12" s="1012">
        <f>+$E$85</f>
        <v>0</v>
      </c>
      <c r="F12" s="1012">
        <f>+$E$86</f>
        <v>0</v>
      </c>
      <c r="G12" s="1012">
        <f>+$E$86</f>
        <v>0</v>
      </c>
      <c r="H12" s="1009">
        <f ca="1">IFERROR(+#REF!*Anagrafica!$F$38,0)</f>
        <v>0</v>
      </c>
      <c r="I12" s="1015">
        <v>0</v>
      </c>
      <c r="J12" s="1109">
        <f>+IF(C12-F12-'1 SAL'!$F$117&lt;0,0,C12-F12-'1 SAL'!$F$117)</f>
        <v>0</v>
      </c>
    </row>
    <row r="13" spans="2:21" ht="15" thickBot="1" x14ac:dyDescent="0.4">
      <c r="B13" s="1093" t="str">
        <f>+IF(Anagrafica!$G$2="Capo II","TOTALE PROGRAMMA DI SPESA","")</f>
        <v/>
      </c>
      <c r="C13" s="1013" t="str">
        <f>+Anagrafica!$I$38</f>
        <v/>
      </c>
      <c r="D13" s="1013" t="str">
        <f>+Anagrafica!$J$38</f>
        <v/>
      </c>
      <c r="E13" s="1013" t="e">
        <f ca="1">+E11+E12</f>
        <v>#REF!</v>
      </c>
      <c r="F13" s="1013" t="e">
        <f ca="1">+F11+F12</f>
        <v>#REF!</v>
      </c>
      <c r="G13" s="1013" t="e">
        <f ca="1">+G11+G12</f>
        <v>#REF!</v>
      </c>
      <c r="H13" s="1013" t="e">
        <f ca="1">+H12+H11</f>
        <v>#REF!</v>
      </c>
      <c r="I13" s="1017" t="e">
        <f ca="1">+I11</f>
        <v>#REF!</v>
      </c>
      <c r="J13" s="1108" t="e">
        <f ca="1">+J12+J11</f>
        <v>#REF!</v>
      </c>
    </row>
  </sheetData>
  <mergeCells count="2">
    <mergeCell ref="C3:D3"/>
    <mergeCell ref="E3:I3"/>
  </mergeCell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8" id="{543AB6EF-5E4E-41B0-9A0D-0CE332DEAAF5}">
            <xm:f>+IF(Anagrafica!$G$2="Capo III",1,0)</xm:f>
            <x14:dxf>
              <font>
                <b/>
                <i val="0"/>
              </font>
              <fill>
                <patternFill>
                  <bgColor theme="8" tint="0.59996337778862885"/>
                </patternFill>
              </fill>
              <border>
                <top style="thin">
                  <color auto="1"/>
                </top>
                <bottom style="thin">
                  <color auto="1"/>
                </bottom>
              </border>
            </x14:dxf>
          </x14:cfRule>
          <xm:sqref>B9</xm:sqref>
        </x14:conditionalFormatting>
        <x14:conditionalFormatting xmlns:xm="http://schemas.microsoft.com/office/excel/2006/main">
          <x14:cfRule type="expression" priority="7" id="{C6B09715-EDD5-44B4-93D2-FD88DE6A6DEC}">
            <xm:f>+IF(Anagrafica!$G$2="Capo III",1,0)</xm:f>
            <x14:dxf>
              <fill>
                <patternFill>
                  <bgColor theme="8" tint="0.59996337778862885"/>
                </patternFill>
              </fill>
            </x14:dxf>
          </x14:cfRule>
          <xm:sqref>C9:D9 H9:I9</xm:sqref>
        </x14:conditionalFormatting>
        <x14:conditionalFormatting xmlns:xm="http://schemas.microsoft.com/office/excel/2006/main">
          <x14:cfRule type="expression" priority="6" id="{514CAD2A-E37D-4BA4-A5ED-832CFD5A8105}">
            <xm:f>+IF(Anagrafica!$G$2="Capo III",1,0)</xm:f>
            <x14:dxf>
              <font>
                <color theme="0"/>
              </font>
              <fill>
                <patternFill>
                  <bgColor theme="0"/>
                </patternFill>
              </fill>
              <border>
                <left/>
                <right/>
                <top/>
                <bottom/>
                <vertical/>
                <horizontal/>
              </border>
            </x14:dxf>
          </x14:cfRule>
          <xm:sqref>B11:I13 B10:D10 H10:I10</xm:sqref>
        </x14:conditionalFormatting>
        <x14:conditionalFormatting xmlns:xm="http://schemas.microsoft.com/office/excel/2006/main">
          <x14:cfRule type="expression" priority="5" id="{175E3847-765C-477D-BA96-C2D195A69C19}">
            <xm:f>+IF(Anagrafica!$G$2="Capo III",1,0)</xm:f>
            <x14:dxf>
              <border>
                <left/>
                <right/>
                <top style="thin">
                  <color auto="1"/>
                </top>
                <bottom/>
                <vertical/>
                <horizontal/>
              </border>
            </x14:dxf>
          </x14:cfRule>
          <xm:sqref>B10:D10 H10:I10</xm:sqref>
        </x14:conditionalFormatting>
        <x14:conditionalFormatting xmlns:xm="http://schemas.microsoft.com/office/excel/2006/main">
          <x14:cfRule type="expression" priority="4" id="{5990BAEB-0043-47BC-ADCD-8DA46BB04F37}">
            <xm:f>+IF(Anagrafica!$G$2="Capo III",1,0)</xm:f>
            <x14:dxf>
              <font>
                <color theme="0"/>
              </font>
              <fill>
                <patternFill>
                  <fgColor theme="0"/>
                  <bgColor theme="0"/>
                </patternFill>
              </fill>
              <border>
                <left/>
                <right/>
                <top/>
                <bottom/>
                <vertical/>
                <horizontal/>
              </border>
            </x14:dxf>
          </x14:cfRule>
          <xm:sqref>K11:O11</xm:sqref>
        </x14:conditionalFormatting>
        <x14:conditionalFormatting xmlns:xm="http://schemas.microsoft.com/office/excel/2006/main">
          <x14:cfRule type="expression" priority="3" id="{0CD1C2D3-F66F-4A2E-B7E7-67229281B1F4}">
            <xm:f>+IF(Anagrafica!$G$2="Capo III",1,0)</xm:f>
            <x14:dxf>
              <fill>
                <patternFill>
                  <bgColor theme="8" tint="0.59996337778862885"/>
                </patternFill>
              </fill>
            </x14:dxf>
          </x14:cfRule>
          <xm:sqref>J9</xm:sqref>
        </x14:conditionalFormatting>
        <x14:conditionalFormatting xmlns:xm="http://schemas.microsoft.com/office/excel/2006/main">
          <x14:cfRule type="expression" priority="2" id="{99E876B6-252D-4054-8697-A4D0EA5CAF86}">
            <xm:f>+IF(Anagrafica!$G$2="Capo III",1,0)</xm:f>
            <x14:dxf>
              <font>
                <color theme="0"/>
              </font>
              <fill>
                <patternFill>
                  <bgColor theme="0"/>
                </patternFill>
              </fill>
              <border>
                <left/>
                <right/>
                <top/>
                <bottom/>
                <vertical/>
                <horizontal/>
              </border>
            </x14:dxf>
          </x14:cfRule>
          <xm:sqref>J10:J13</xm:sqref>
        </x14:conditionalFormatting>
        <x14:conditionalFormatting xmlns:xm="http://schemas.microsoft.com/office/excel/2006/main">
          <x14:cfRule type="expression" priority="1" id="{7EE75351-C55B-4B47-A768-123BEC0499B9}">
            <xm:f>+IF(Anagrafica!$G$2="Capo III",1,0)</xm:f>
            <x14:dxf>
              <border>
                <left/>
                <right/>
                <top style="thin">
                  <color auto="1"/>
                </top>
                <bottom/>
                <vertical/>
                <horizontal/>
              </border>
            </x14:dxf>
          </x14:cfRule>
          <xm:sqref>J10</xm:sqref>
        </x14:conditionalFormatting>
      </x14:conditionalFormatting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C5DD3-DDD0-411F-B1A5-C0A583097A51}">
  <sheetPr codeName="Foglio42"/>
  <dimension ref="A1:BS280"/>
  <sheetViews>
    <sheetView topLeftCell="AX1" workbookViewId="0">
      <selection activeCell="BR26" sqref="BR26"/>
    </sheetView>
  </sheetViews>
  <sheetFormatPr defaultRowHeight="14.5" x14ac:dyDescent="0.35"/>
  <cols>
    <col min="33" max="33" width="12.26953125" customWidth="1"/>
    <col min="67" max="67" width="44.1796875" customWidth="1"/>
    <col min="68" max="68" width="14.7265625" customWidth="1"/>
    <col min="69" max="69" width="20" customWidth="1"/>
    <col min="70" max="70" width="13.26953125" customWidth="1"/>
    <col min="71" max="71" width="16.54296875" customWidth="1"/>
  </cols>
  <sheetData>
    <row r="1" spans="1:71" ht="15" thickBot="1" x14ac:dyDescent="0.4">
      <c r="H1" s="2238" t="s">
        <v>2279</v>
      </c>
      <c r="I1" s="2239"/>
      <c r="J1" s="2239"/>
      <c r="K1" s="2239"/>
      <c r="L1" s="2239"/>
      <c r="M1" s="2239"/>
      <c r="N1" s="2239"/>
      <c r="O1" s="2240"/>
      <c r="X1" s="2238" t="s">
        <v>2299</v>
      </c>
      <c r="Y1" s="2239"/>
      <c r="Z1" s="2239"/>
      <c r="AA1" s="2239"/>
      <c r="AB1" s="2239"/>
      <c r="AC1" s="2239"/>
      <c r="AD1" s="2239"/>
      <c r="AE1" s="2240"/>
      <c r="AN1" s="2238" t="s">
        <v>2309</v>
      </c>
      <c r="AO1" s="2239"/>
      <c r="AP1" s="2239"/>
      <c r="AQ1" s="2239"/>
      <c r="AR1" s="2239"/>
      <c r="AS1" s="2239"/>
      <c r="AT1" s="2239"/>
      <c r="AU1" s="2240"/>
      <c r="AX1" s="2238" t="s">
        <v>2310</v>
      </c>
      <c r="AY1" s="2239"/>
      <c r="AZ1" s="2240"/>
    </row>
    <row r="2" spans="1:71" x14ac:dyDescent="0.35">
      <c r="A2" t="str">
        <f>+$BO$4</f>
        <v>Acquisto immobile sede dell'attività</v>
      </c>
      <c r="B2" t="str">
        <f>+$BO$5</f>
        <v>Opere murarie e assimilate</v>
      </c>
      <c r="C2" t="str">
        <f>+$BO$6</f>
        <v>Macchinari, impianti ed attrezzature</v>
      </c>
      <c r="D2" t="str">
        <f>+$BO$7</f>
        <v>Programmi informatici, brevetti, licenze e marchi</v>
      </c>
      <c r="E2" t="str">
        <f>+$BO$8</f>
        <v>TOTALE PROGRAMMA DI SPESA</v>
      </c>
      <c r="F2" t="str">
        <f>+$BO$9</f>
        <v/>
      </c>
      <c r="H2" s="1196" t="s">
        <v>2281</v>
      </c>
      <c r="I2" t="s">
        <v>2282</v>
      </c>
      <c r="J2" t="s">
        <v>2283</v>
      </c>
      <c r="K2" t="s">
        <v>402</v>
      </c>
      <c r="L2" t="s">
        <v>2069</v>
      </c>
      <c r="M2" t="s">
        <v>2262</v>
      </c>
      <c r="N2" t="s">
        <v>2263</v>
      </c>
      <c r="Q2" t="str">
        <f>+$BO$4</f>
        <v>Acquisto immobile sede dell'attività</v>
      </c>
      <c r="R2" t="str">
        <f>+$BO$5</f>
        <v>Opere murarie e assimilate</v>
      </c>
      <c r="S2" t="str">
        <f>+$BO$6</f>
        <v>Macchinari, impianti ed attrezzature</v>
      </c>
      <c r="T2" t="str">
        <f>+$BO$7</f>
        <v>Programmi informatici, brevetti, licenze e marchi</v>
      </c>
      <c r="U2" t="str">
        <f>+$BO$8</f>
        <v>TOTALE PROGRAMMA DI SPESA</v>
      </c>
      <c r="V2" t="str">
        <f>+$BO$9</f>
        <v/>
      </c>
      <c r="X2" s="1196" t="s">
        <v>2281</v>
      </c>
      <c r="Y2" t="s">
        <v>2282</v>
      </c>
      <c r="Z2" t="s">
        <v>2283</v>
      </c>
      <c r="AA2" t="s">
        <v>402</v>
      </c>
      <c r="AB2" t="s">
        <v>2069</v>
      </c>
      <c r="AC2" t="s">
        <v>2262</v>
      </c>
      <c r="AD2" t="s">
        <v>2263</v>
      </c>
      <c r="AG2" t="str">
        <f>+$BO$4</f>
        <v>Acquisto immobile sede dell'attività</v>
      </c>
      <c r="AH2" t="str">
        <f>+$BO$5</f>
        <v>Opere murarie e assimilate</v>
      </c>
      <c r="AI2" t="str">
        <f>+$BO$6</f>
        <v>Macchinari, impianti ed attrezzature</v>
      </c>
      <c r="AJ2" t="str">
        <f>+$BO$7</f>
        <v>Programmi informatici, brevetti, licenze e marchi</v>
      </c>
      <c r="AK2" t="str">
        <f>+$BO$8</f>
        <v>TOTALE PROGRAMMA DI SPESA</v>
      </c>
      <c r="AL2" t="str">
        <f>+$BO$9</f>
        <v/>
      </c>
      <c r="AN2" s="1196" t="s">
        <v>2281</v>
      </c>
      <c r="AO2" t="s">
        <v>2282</v>
      </c>
      <c r="AP2" t="s">
        <v>2283</v>
      </c>
      <c r="AQ2" t="s">
        <v>402</v>
      </c>
      <c r="AR2" t="s">
        <v>2069</v>
      </c>
      <c r="AS2" t="s">
        <v>2262</v>
      </c>
      <c r="AT2" t="s">
        <v>2263</v>
      </c>
      <c r="AX2" t="s">
        <v>2284</v>
      </c>
      <c r="AY2" t="s">
        <v>563</v>
      </c>
      <c r="AZ2" t="s">
        <v>2285</v>
      </c>
      <c r="BA2" t="s">
        <v>2286</v>
      </c>
      <c r="BE2" s="1197" t="s">
        <v>2287</v>
      </c>
      <c r="BF2" s="1197" t="s">
        <v>567</v>
      </c>
      <c r="BG2" t="str">
        <f>+$BO$4</f>
        <v>Acquisto immobile sede dell'attività</v>
      </c>
      <c r="BH2" t="str">
        <f>+$BO$5</f>
        <v>Opere murarie e assimilate</v>
      </c>
      <c r="BI2" t="str">
        <f>+$BO$6</f>
        <v>Macchinari, impianti ed attrezzature</v>
      </c>
      <c r="BJ2" t="str">
        <f>+$BO$7</f>
        <v>Programmi informatici, brevetti, licenze e marchi</v>
      </c>
      <c r="BK2" t="str">
        <f>+$BO$8</f>
        <v>TOTALE PROGRAMMA DI SPESA</v>
      </c>
      <c r="BL2" t="str">
        <f>+$BO$9</f>
        <v/>
      </c>
      <c r="BQ2" t="s">
        <v>2245</v>
      </c>
      <c r="BS2" t="s">
        <v>2246</v>
      </c>
    </row>
    <row r="3" spans="1:71" x14ac:dyDescent="0.35">
      <c r="A3" t="str">
        <f ca="1">IFERROR(IF($K3=A$2,_xlfn.CONCAT($I3,$J3),"NO"),0)</f>
        <v>NO</v>
      </c>
      <c r="B3" t="str">
        <f ca="1">IFERROR(IF($K3=B$2,_xlfn.CONCAT($I3,$J3),"NO"),0)</f>
        <v>NO</v>
      </c>
      <c r="C3" t="str">
        <f t="shared" ref="C3:F18" ca="1" si="0">IFERROR(IF($K3=C$2,_xlfn.CONCAT($I3,$J3),"NO"),0)</f>
        <v>NO</v>
      </c>
      <c r="D3">
        <f t="shared" ca="1" si="0"/>
        <v>0</v>
      </c>
      <c r="E3" t="str">
        <f t="shared" ca="1" si="0"/>
        <v>NO</v>
      </c>
      <c r="F3" t="str">
        <f t="shared" ca="1" si="0"/>
        <v>NO</v>
      </c>
      <c r="H3" s="1196" t="e">
        <f ca="1">_xlfn.CONCAT(I3,J3,)</f>
        <v>#REF!</v>
      </c>
      <c r="I3" t="e" cm="1">
        <f t="array" aca="1" ref="I3" ca="1">+FORNITOREISAL</f>
        <v>#REF!</v>
      </c>
      <c r="J3" t="e" cm="1">
        <f t="array" aca="1" ref="J3" ca="1">+NfatturaISAL</f>
        <v>#REF!</v>
      </c>
      <c r="K3" t="str" cm="1">
        <f t="array" aca="1" ref="K3:K6" ca="1">+Categoriesal1</f>
        <v>Programmi informatici, brevetti, licenze e marchi</v>
      </c>
      <c r="L3" t="e" cm="1">
        <f t="array" aca="1" ref="L3" ca="1">+Ammessosal1</f>
        <v>#REF!</v>
      </c>
      <c r="M3" t="e" cm="1">
        <f t="array" aca="1" ref="M3" ca="1">+Quietanzasal1</f>
        <v>#REF!</v>
      </c>
      <c r="N3" t="e" cm="1">
        <f t="array" aca="1" ref="N3" ca="1">IF(+Quietanzasal1="si",1,0)*Ammessosal1</f>
        <v>#REF!</v>
      </c>
      <c r="Q3">
        <f ca="1">IFERROR(IF($AA3=Q$2,_xlfn.CONCAT($Y3,$Z3),"NO"),0)</f>
        <v>0</v>
      </c>
      <c r="R3">
        <f t="shared" ref="R3:V18" ca="1" si="1">IFERROR(IF($AA3=R$2,_xlfn.CONCAT($Y3,$Z3),"NO"),0)</f>
        <v>0</v>
      </c>
      <c r="S3">
        <f t="shared" ca="1" si="1"/>
        <v>0</v>
      </c>
      <c r="T3">
        <f t="shared" ca="1" si="1"/>
        <v>0</v>
      </c>
      <c r="U3">
        <f t="shared" ca="1" si="1"/>
        <v>0</v>
      </c>
      <c r="V3">
        <f t="shared" ca="1" si="1"/>
        <v>0</v>
      </c>
      <c r="W3" t="str">
        <f t="shared" ref="W3" si="2">IF(AV3=W2,_xlfn.CONCAT(AE3,AU3))</f>
        <v/>
      </c>
      <c r="X3" s="1196" t="e">
        <f ca="1">_xlfn.CONCAT(Y3,Z3,)</f>
        <v>#REF!</v>
      </c>
      <c r="Y3" t="e" cm="1">
        <f t="array" aca="1" ref="Y3" ca="1">+FORNITOREIISAL</f>
        <v>#REF!</v>
      </c>
      <c r="Z3" t="e" cm="1">
        <f t="array" aca="1" ref="Z3" ca="1">+NfatturaIISAL</f>
        <v>#REF!</v>
      </c>
      <c r="AA3" t="e" cm="1">
        <f t="array" aca="1" ref="AA3" ca="1">+Categoriesal2</f>
        <v>#REF!</v>
      </c>
      <c r="AB3" t="e" cm="1">
        <f t="array" aca="1" ref="AB3" ca="1">+Ammessosal2</f>
        <v>#REF!</v>
      </c>
      <c r="AC3" t="e" cm="1">
        <f t="array" aca="1" ref="AC3" ca="1">+Quietanzasal2</f>
        <v>#REF!</v>
      </c>
      <c r="AD3" t="e" cm="1">
        <f t="array" aca="1" ref="AD3" ca="1">IF(+Quietanzasal2="si",1,0)*Ammessosal2</f>
        <v>#REF!</v>
      </c>
      <c r="AG3">
        <f ca="1">IFERROR(IF($AQ3=AG$2,_xlfn.CONCAT($AO3,$AP3),"NO"),0)</f>
        <v>0</v>
      </c>
      <c r="AH3">
        <f t="shared" ref="AH3:AL18" ca="1" si="3">IFERROR(IF($AQ3=AH$2,_xlfn.CONCAT($AO3,$AP3),"NO"),0)</f>
        <v>0</v>
      </c>
      <c r="AI3">
        <f t="shared" ca="1" si="3"/>
        <v>0</v>
      </c>
      <c r="AJ3">
        <f t="shared" ca="1" si="3"/>
        <v>0</v>
      </c>
      <c r="AK3">
        <f t="shared" ca="1" si="3"/>
        <v>0</v>
      </c>
      <c r="AL3">
        <f t="shared" ca="1" si="3"/>
        <v>0</v>
      </c>
      <c r="AN3" s="1196" t="e">
        <f ca="1">_xlfn.CONCAT(AO3,AP3,)</f>
        <v>#REF!</v>
      </c>
      <c r="AO3" t="e" cm="1">
        <f t="array" aca="1" ref="AO3" ca="1">+FORNITOREIIISAL</f>
        <v>#REF!</v>
      </c>
      <c r="AP3" t="e" cm="1">
        <f t="array" aca="1" ref="AP3" ca="1">+NfatturaIIISAL</f>
        <v>#REF!</v>
      </c>
      <c r="AQ3" t="e" cm="1">
        <f t="array" aca="1" ref="AQ3" ca="1">+Categoriesal3</f>
        <v>#REF!</v>
      </c>
      <c r="AR3" t="e" cm="1">
        <f t="array" aca="1" ref="AR3" ca="1">+Ammessosal3</f>
        <v>#REF!</v>
      </c>
      <c r="AS3" t="e" cm="1">
        <f t="array" aca="1" ref="AS3" ca="1">+Quietanzasal3</f>
        <v>#REF!</v>
      </c>
      <c r="AT3" t="e" cm="1">
        <f t="array" aca="1" ref="AT3" ca="1">IF(+Quietanzasal3="si",1,0)*Ammessosal3</f>
        <v>#REF!</v>
      </c>
      <c r="AX3" t="e" cm="1">
        <f t="array" aca="1" ref="AX3" ca="1">+NFATTURAdaquietanzaredelIIISAL</f>
        <v>#REF!</v>
      </c>
      <c r="AY3" t="e" cm="1">
        <f t="array" aca="1" ref="AY3" ca="1">+FORNITOREdaquietanzaredeIIIISAL</f>
        <v>#REF!</v>
      </c>
      <c r="AZ3" t="e" cm="1">
        <f t="array" aca="1" ref="AZ3" ca="1">+VettoreQUIETANZATEIIISAL</f>
        <v>#REF!</v>
      </c>
      <c r="BA3" s="1196" t="e">
        <f ca="1">+IF(AZ3="si",_xlfn.CONCAT(AY3,AX3),"")</f>
        <v>#REF!</v>
      </c>
      <c r="BB3" t="e" cm="1">
        <f t="array" aca="1" ref="BB3:BB5" ca="1">+_xlfn.UNIQUE(BA3:BA1048576)</f>
        <v>#REF!</v>
      </c>
      <c r="BE3" s="1198" t="str" cm="1">
        <f t="array" aca="1" ref="BE3:BE6" ca="1">+Categoriesal1</f>
        <v>Programmi informatici, brevetti, licenze e marchi</v>
      </c>
      <c r="BF3" s="1198">
        <f ca="1">IFERROR(VLOOKUP(BC3,S$2:AG$1048576,12,FALSE),0)</f>
        <v>0</v>
      </c>
      <c r="BG3" s="1196">
        <f ca="1">SUMIF(A:A,$BB3,$L:$L)+SUMIF(Q:Q,$BB3,$AB:$AB)+SUMIF(AG:AG,$BB3,$AR:$AR)</f>
        <v>0</v>
      </c>
      <c r="BH3" s="1196">
        <f t="shared" ref="BH3:BL3" ca="1" si="4">SUMIF(B:B,$BB3,$L:$L)+SUMIF(R:R,$BB3,$AB:$AB)+SUMIF(AH:AH,$BB3,$AR:$AR)</f>
        <v>0</v>
      </c>
      <c r="BI3" s="1196">
        <f t="shared" ca="1" si="4"/>
        <v>0</v>
      </c>
      <c r="BJ3" s="1196">
        <f t="shared" ca="1" si="4"/>
        <v>0</v>
      </c>
      <c r="BK3" s="1196">
        <f t="shared" ca="1" si="4"/>
        <v>0</v>
      </c>
      <c r="BL3" s="1196">
        <f t="shared" ca="1" si="4"/>
        <v>0</v>
      </c>
      <c r="BO3" t="s">
        <v>2067</v>
      </c>
      <c r="BP3" t="s">
        <v>2288</v>
      </c>
      <c r="BQ3" t="s">
        <v>2068</v>
      </c>
      <c r="BR3" t="s">
        <v>2289</v>
      </c>
      <c r="BS3" t="s">
        <v>2290</v>
      </c>
    </row>
    <row r="4" spans="1:71" x14ac:dyDescent="0.35">
      <c r="A4" t="str">
        <f t="shared" ref="A4:F56" ca="1" si="5">IFERROR(IF($K4=A$2,_xlfn.CONCAT($I4,$J4),"NO"),0)</f>
        <v>NO</v>
      </c>
      <c r="B4" t="str">
        <f t="shared" ca="1" si="5"/>
        <v/>
      </c>
      <c r="C4" t="str">
        <f t="shared" ca="1" si="0"/>
        <v>NO</v>
      </c>
      <c r="D4" t="str">
        <f t="shared" ca="1" si="0"/>
        <v>NO</v>
      </c>
      <c r="E4" t="str">
        <f t="shared" ca="1" si="0"/>
        <v>NO</v>
      </c>
      <c r="F4" t="str">
        <f t="shared" ca="1" si="0"/>
        <v>NO</v>
      </c>
      <c r="H4" s="1196" t="str">
        <f t="shared" ref="H4:H67" si="6">_xlfn.CONCAT(I4,J4,)</f>
        <v/>
      </c>
      <c r="K4" t="str">
        <f ca="1"/>
        <v>Opere murarie e assimilate</v>
      </c>
      <c r="Q4" t="str">
        <f t="shared" ref="Q4:V58" si="7">IFERROR(IF($AA4=Q$2,_xlfn.CONCAT($Y4,$Z4),"NO"),0)</f>
        <v>NO</v>
      </c>
      <c r="R4" t="str">
        <f t="shared" si="1"/>
        <v>NO</v>
      </c>
      <c r="S4" t="str">
        <f t="shared" si="1"/>
        <v>NO</v>
      </c>
      <c r="T4" t="str">
        <f t="shared" si="1"/>
        <v>NO</v>
      </c>
      <c r="U4" t="str">
        <f t="shared" si="1"/>
        <v>NO</v>
      </c>
      <c r="V4" t="str">
        <f t="shared" si="1"/>
        <v/>
      </c>
      <c r="W4" t="str">
        <f t="shared" ref="W4:W67" si="8">IF(AV4=W3,_xlfn.CONCAT(AE4,AU4))</f>
        <v/>
      </c>
      <c r="X4" s="1196" t="str">
        <f t="shared" ref="X4:X67" si="9">_xlfn.CONCAT(Y4,Z4,)</f>
        <v/>
      </c>
      <c r="AG4" t="str">
        <f t="shared" ref="AG4:AL58" si="10">IFERROR(IF($AQ4=AG$2,_xlfn.CONCAT($AO4,$AP4),"NO"),0)</f>
        <v>NO</v>
      </c>
      <c r="AH4" t="str">
        <f t="shared" si="3"/>
        <v>NO</v>
      </c>
      <c r="AI4" t="str">
        <f t="shared" si="3"/>
        <v>NO</v>
      </c>
      <c r="AJ4" t="str">
        <f t="shared" si="3"/>
        <v>NO</v>
      </c>
      <c r="AK4" t="str">
        <f t="shared" si="3"/>
        <v>NO</v>
      </c>
      <c r="AL4" t="str">
        <f t="shared" si="3"/>
        <v/>
      </c>
      <c r="AN4" s="1196" t="str">
        <f t="shared" ref="AN4:AN67" si="11">_xlfn.CONCAT(AO4,AP4,)</f>
        <v/>
      </c>
      <c r="BA4" s="1196" t="str">
        <f t="shared" ref="BA4:BA67" si="12">+IF(AZ4="si",_xlfn.CONCAT(AY4,AX4),"")</f>
        <v/>
      </c>
      <c r="BB4" t="str">
        <f ca="1"/>
        <v/>
      </c>
      <c r="BE4" s="1198" t="str">
        <f ca="1"/>
        <v>Opere murarie e assimilate</v>
      </c>
      <c r="BF4" s="1198">
        <f ca="1">IFERROR(VLOOKUP(BC4,S$2:AG$1048576,12,FALSE),0)</f>
        <v>0</v>
      </c>
      <c r="BG4" s="1196">
        <f t="shared" ref="BG4:BG19" ca="1" si="13">SUMIF(A:A,$BB4,$L:$L)+SUMIF(Q:Q,$BB4,$AB:$AB)+SUMIF(AG:AG,$BB4,$AR:$AR)</f>
        <v>0</v>
      </c>
      <c r="BH4" s="1196">
        <f t="shared" ref="BH4:BH19" ca="1" si="14">SUMIF(B:B,$BB4,$L:$L)+SUMIF(R:R,$BB4,$AB:$AB)+SUMIF(AH:AH,$BB4,$AR:$AR)</f>
        <v>0</v>
      </c>
      <c r="BI4" s="1196">
        <f t="shared" ref="BI4:BI19" ca="1" si="15">SUMIF(C:C,$BB4,$L:$L)+SUMIF(S:S,$BB4,$AB:$AB)+SUMIF(AI:AI,$BB4,$AR:$AR)</f>
        <v>0</v>
      </c>
      <c r="BJ4" s="1196">
        <f t="shared" ref="BJ4:BJ19" ca="1" si="16">SUMIF(D:D,$BB4,$L:$L)+SUMIF(T:T,$BB4,$AB:$AB)+SUMIF(AJ:AJ,$BB4,$AR:$AR)</f>
        <v>0</v>
      </c>
      <c r="BK4" s="1196">
        <f t="shared" ref="BK4:BK19" ca="1" si="17">SUMIF(E:E,$BB4,$L:$L)+SUMIF(U:U,$BB4,$AB:$AB)+SUMIF(AK:AK,$BB4,$AR:$AR)</f>
        <v>0</v>
      </c>
      <c r="BL4" s="1196">
        <f t="shared" ref="BL4:BL19" ca="1" si="18">SUMIF(F:F,$BB4,$L:$L)+SUMIF(V:V,$BB4,$AB:$AB)+SUMIF(AL:AL,$BB4,$AR:$AR)</f>
        <v>0</v>
      </c>
      <c r="BO4" t="str">
        <f>+IF(Anagrafica!$G$2="Capo II","Opere murarie e assimilate","Acquisto immobile sede dell'attività")</f>
        <v>Acquisto immobile sede dell'attività</v>
      </c>
      <c r="BP4">
        <f ca="1">SUM(BF:BF)</f>
        <v>0</v>
      </c>
      <c r="BQ4" s="1215">
        <f>+'1 SAL'!T110</f>
        <v>0</v>
      </c>
      <c r="BR4" s="316">
        <f ca="1">IFERROR(+BP4*Anagrafica!W38,"")</f>
        <v>0</v>
      </c>
      <c r="BS4" s="316">
        <v>0</v>
      </c>
    </row>
    <row r="5" spans="1:71" x14ac:dyDescent="0.35">
      <c r="A5" t="str">
        <f t="shared" ca="1" si="5"/>
        <v>NO</v>
      </c>
      <c r="B5" t="str">
        <f t="shared" ca="1" si="5"/>
        <v>NO</v>
      </c>
      <c r="C5" t="str">
        <f t="shared" ca="1" si="0"/>
        <v>NO</v>
      </c>
      <c r="D5" t="str">
        <f t="shared" ca="1" si="0"/>
        <v>NO</v>
      </c>
      <c r="E5" t="str">
        <f t="shared" ca="1" si="0"/>
        <v>NO</v>
      </c>
      <c r="F5" t="str">
        <f t="shared" ca="1" si="0"/>
        <v>NO</v>
      </c>
      <c r="H5" s="1196" t="str">
        <f t="shared" si="6"/>
        <v/>
      </c>
      <c r="K5" t="str">
        <f ca="1"/>
        <v>Oneri notarili connessi alla stipula del contratto di finanziamento ed oneri connessi alla costituzione della società</v>
      </c>
      <c r="Q5" t="str">
        <f t="shared" si="7"/>
        <v>NO</v>
      </c>
      <c r="R5" t="str">
        <f t="shared" si="1"/>
        <v>NO</v>
      </c>
      <c r="S5" t="str">
        <f t="shared" si="1"/>
        <v>NO</v>
      </c>
      <c r="T5" t="str">
        <f t="shared" si="1"/>
        <v>NO</v>
      </c>
      <c r="U5" t="str">
        <f t="shared" si="1"/>
        <v>NO</v>
      </c>
      <c r="V5" t="str">
        <f t="shared" si="1"/>
        <v/>
      </c>
      <c r="W5" t="str">
        <f t="shared" si="8"/>
        <v/>
      </c>
      <c r="X5" s="1196" t="str">
        <f t="shared" si="9"/>
        <v/>
      </c>
      <c r="AG5" t="str">
        <f t="shared" si="10"/>
        <v>NO</v>
      </c>
      <c r="AH5" t="str">
        <f t="shared" si="3"/>
        <v>NO</v>
      </c>
      <c r="AI5" t="str">
        <f t="shared" si="3"/>
        <v>NO</v>
      </c>
      <c r="AJ5" t="str">
        <f t="shared" si="3"/>
        <v>NO</v>
      </c>
      <c r="AK5" t="str">
        <f t="shared" si="3"/>
        <v>NO</v>
      </c>
      <c r="AL5" t="str">
        <f t="shared" si="3"/>
        <v/>
      </c>
      <c r="AN5" s="1196" t="str">
        <f t="shared" si="11"/>
        <v/>
      </c>
      <c r="BA5" s="1196" t="str">
        <f t="shared" si="12"/>
        <v/>
      </c>
      <c r="BB5">
        <f ca="1"/>
        <v>0</v>
      </c>
      <c r="BE5" s="1198" t="str">
        <f ca="1"/>
        <v>Oneri notarili connessi alla stipula del contratto di finanziamento ed oneri connessi alla costituzione della società</v>
      </c>
      <c r="BF5" s="1198">
        <f ca="1">IFERROR(VLOOKUP(BC5,S$2:AG$1048576,12,FALSE),0)</f>
        <v>0</v>
      </c>
      <c r="BG5" s="1196" t="e">
        <f t="shared" ca="1" si="13"/>
        <v>#REF!</v>
      </c>
      <c r="BH5" s="1196" t="e">
        <f t="shared" ca="1" si="14"/>
        <v>#REF!</v>
      </c>
      <c r="BI5" s="1196" t="e">
        <f t="shared" ca="1" si="15"/>
        <v>#REF!</v>
      </c>
      <c r="BJ5" s="1196" t="e">
        <f t="shared" ca="1" si="16"/>
        <v>#REF!</v>
      </c>
      <c r="BK5" s="1196" t="e">
        <f t="shared" ca="1" si="17"/>
        <v>#REF!</v>
      </c>
      <c r="BL5" s="1196" t="e">
        <f t="shared" ca="1" si="18"/>
        <v>#REF!</v>
      </c>
      <c r="BO5" t="str">
        <f>+IF(Anagrafica!$G$2="Capo II","Macchinari, impianti ed attrezzature","Opere murarie e assimilate")</f>
        <v>Opere murarie e assimilate</v>
      </c>
      <c r="BP5" t="e">
        <f ca="1">SUM(BG:BG)</f>
        <v>#REF!</v>
      </c>
      <c r="BQ5" s="1215">
        <f>+'1 SAL'!T111</f>
        <v>0</v>
      </c>
      <c r="BR5" s="1213" t="e">
        <f ca="1">+IF(Anagrafica!$G$2="Capo II",(BP5*Anagrafica!$F$38-BS5),BP5*Anagrafica!$F$38)</f>
        <v>#REF!</v>
      </c>
      <c r="BS5" s="316">
        <f ca="1">+IFERROR((BP5/'Calcolo contributo CAPO II'!$C$23)*Anagrafica!$C$37,0)</f>
        <v>0</v>
      </c>
    </row>
    <row r="6" spans="1:71" x14ac:dyDescent="0.35">
      <c r="A6" t="str">
        <f t="shared" ca="1" si="5"/>
        <v>NO</v>
      </c>
      <c r="B6" t="str">
        <f t="shared" ca="1" si="5"/>
        <v>NO</v>
      </c>
      <c r="C6" t="str">
        <f t="shared" ca="1" si="0"/>
        <v>NO</v>
      </c>
      <c r="D6" t="str">
        <f t="shared" ca="1" si="0"/>
        <v>NO</v>
      </c>
      <c r="E6" t="str">
        <f t="shared" ca="1" si="0"/>
        <v>NO</v>
      </c>
      <c r="F6" t="str">
        <f t="shared" ca="1" si="0"/>
        <v>NO</v>
      </c>
      <c r="H6" s="1196" t="str">
        <f t="shared" si="6"/>
        <v/>
      </c>
      <c r="K6" t="str">
        <f ca="1"/>
        <v>Programmi informatici e servizi per le tecnologie dell’informazione e della comunicazione</v>
      </c>
      <c r="Q6" t="str">
        <f t="shared" si="7"/>
        <v>NO</v>
      </c>
      <c r="R6" t="str">
        <f t="shared" si="1"/>
        <v>NO</v>
      </c>
      <c r="S6" t="str">
        <f t="shared" si="1"/>
        <v>NO</v>
      </c>
      <c r="T6" t="str">
        <f t="shared" si="1"/>
        <v>NO</v>
      </c>
      <c r="U6" t="str">
        <f t="shared" si="1"/>
        <v>NO</v>
      </c>
      <c r="V6" t="str">
        <f t="shared" si="1"/>
        <v/>
      </c>
      <c r="W6" t="str">
        <f t="shared" si="8"/>
        <v/>
      </c>
      <c r="X6" s="1196" t="str">
        <f t="shared" si="9"/>
        <v/>
      </c>
      <c r="AG6" t="str">
        <f t="shared" si="10"/>
        <v>NO</v>
      </c>
      <c r="AH6" t="str">
        <f t="shared" si="3"/>
        <v>NO</v>
      </c>
      <c r="AI6" t="str">
        <f t="shared" si="3"/>
        <v>NO</v>
      </c>
      <c r="AJ6" t="str">
        <f t="shared" si="3"/>
        <v>NO</v>
      </c>
      <c r="AK6" t="str">
        <f t="shared" si="3"/>
        <v>NO</v>
      </c>
      <c r="AL6" t="str">
        <f t="shared" si="3"/>
        <v/>
      </c>
      <c r="AN6" s="1196" t="str">
        <f t="shared" si="11"/>
        <v/>
      </c>
      <c r="BA6" s="1196" t="str">
        <f t="shared" si="12"/>
        <v/>
      </c>
      <c r="BE6" s="1198" t="str">
        <f ca="1"/>
        <v>Programmi informatici e servizi per le tecnologie dell’informazione e della comunicazione</v>
      </c>
      <c r="BF6" s="1198">
        <f ca="1">IFERROR(VLOOKUP(BB6,S$2:AG$1048576,12,FALSE),0)</f>
        <v>0</v>
      </c>
      <c r="BG6" s="1196" t="e">
        <f t="shared" ca="1" si="13"/>
        <v>#REF!</v>
      </c>
      <c r="BH6" s="1196" t="e">
        <f t="shared" ca="1" si="14"/>
        <v>#REF!</v>
      </c>
      <c r="BI6" s="1196" t="e">
        <f t="shared" ca="1" si="15"/>
        <v>#REF!</v>
      </c>
      <c r="BJ6" s="1196" t="e">
        <f t="shared" ca="1" si="16"/>
        <v>#REF!</v>
      </c>
      <c r="BK6" s="1196" t="e">
        <f t="shared" ca="1" si="17"/>
        <v>#REF!</v>
      </c>
      <c r="BL6" s="1196" t="e">
        <f t="shared" ca="1" si="18"/>
        <v>#REF!</v>
      </c>
      <c r="BO6" t="str">
        <f>+IF(Anagrafica!$G$2="Capo II","Programmi informatici e servizi per le tecnologie dell’informazione e della comunicazione","Macchinari, impianti ed attrezzature")</f>
        <v>Macchinari, impianti ed attrezzature</v>
      </c>
      <c r="BP6" t="e">
        <f ca="1">SUM(BH:BH)</f>
        <v>#REF!</v>
      </c>
      <c r="BQ6" s="1215">
        <f>+'1 SAL'!T112</f>
        <v>0</v>
      </c>
      <c r="BR6" s="1213" t="e">
        <f ca="1">+(BP6*Anagrafica!$F$38-BS6)</f>
        <v>#REF!</v>
      </c>
      <c r="BS6" s="1213" t="e">
        <f ca="1">IF(Anagrafica!$G$2="Capo II",(BP6/'Calcolo contributo CAPO II'!$C$23)*Anagrafica!$C$37,BP6/(GBER!$C$11+GBER!$C$13)*Anagrafica!$C$37)</f>
        <v>#REF!</v>
      </c>
    </row>
    <row r="7" spans="1:71" x14ac:dyDescent="0.35">
      <c r="A7" t="str">
        <f t="shared" si="5"/>
        <v>NO</v>
      </c>
      <c r="B7" t="str">
        <f t="shared" si="5"/>
        <v>NO</v>
      </c>
      <c r="C7" t="str">
        <f t="shared" si="0"/>
        <v>NO</v>
      </c>
      <c r="D7" t="str">
        <f t="shared" si="0"/>
        <v>NO</v>
      </c>
      <c r="E7" t="str">
        <f t="shared" si="0"/>
        <v>NO</v>
      </c>
      <c r="F7" t="str">
        <f t="shared" si="0"/>
        <v/>
      </c>
      <c r="H7" s="1196" t="str">
        <f t="shared" si="6"/>
        <v/>
      </c>
      <c r="Q7" t="str">
        <f t="shared" si="7"/>
        <v>NO</v>
      </c>
      <c r="R7" t="str">
        <f t="shared" si="1"/>
        <v>NO</v>
      </c>
      <c r="S7" t="str">
        <f t="shared" si="1"/>
        <v>NO</v>
      </c>
      <c r="T7" t="str">
        <f t="shared" si="1"/>
        <v>NO</v>
      </c>
      <c r="U7" t="str">
        <f t="shared" si="1"/>
        <v>NO</v>
      </c>
      <c r="V7" t="str">
        <f t="shared" si="1"/>
        <v/>
      </c>
      <c r="W7" t="str">
        <f t="shared" si="8"/>
        <v/>
      </c>
      <c r="X7" s="1196" t="str">
        <f t="shared" si="9"/>
        <v/>
      </c>
      <c r="AG7" t="str">
        <f t="shared" si="10"/>
        <v>NO</v>
      </c>
      <c r="AH7" t="str">
        <f t="shared" si="3"/>
        <v>NO</v>
      </c>
      <c r="AI7" t="str">
        <f t="shared" si="3"/>
        <v>NO</v>
      </c>
      <c r="AJ7" t="str">
        <f t="shared" si="3"/>
        <v>NO</v>
      </c>
      <c r="AK7" t="str">
        <f t="shared" si="3"/>
        <v>NO</v>
      </c>
      <c r="AL7" t="str">
        <f t="shared" si="3"/>
        <v/>
      </c>
      <c r="AN7" s="1196" t="str">
        <f t="shared" si="11"/>
        <v/>
      </c>
      <c r="BA7" s="1196" t="str">
        <f t="shared" si="12"/>
        <v/>
      </c>
      <c r="BE7" s="1198"/>
      <c r="BF7" s="1198">
        <f ca="1">IFERROR(VLOOKUP(BB7,S$2:AG$1048576,12,FALSE),0)</f>
        <v>0</v>
      </c>
      <c r="BG7" s="1196" t="e">
        <f t="shared" ca="1" si="13"/>
        <v>#REF!</v>
      </c>
      <c r="BH7" s="1196" t="e">
        <f t="shared" ca="1" si="14"/>
        <v>#REF!</v>
      </c>
      <c r="BI7" s="1196" t="e">
        <f t="shared" ca="1" si="15"/>
        <v>#REF!</v>
      </c>
      <c r="BJ7" s="1196" t="e">
        <f t="shared" ca="1" si="16"/>
        <v>#REF!</v>
      </c>
      <c r="BK7" s="1196" t="e">
        <f t="shared" ca="1" si="17"/>
        <v>#REF!</v>
      </c>
      <c r="BL7" s="1196" t="e">
        <f t="shared" ca="1" si="18"/>
        <v>#REF!</v>
      </c>
      <c r="BO7" t="str">
        <f>+IF(Anagrafica!$G$2="Capo II","Acquisto di brevetti o acquisizione di relative licenze d’uso","Programmi informatici, brevetti, licenze e marchi")</f>
        <v>Programmi informatici, brevetti, licenze e marchi</v>
      </c>
      <c r="BP7" t="e">
        <f ca="1">SUM(BI:BI)</f>
        <v>#REF!</v>
      </c>
      <c r="BQ7" s="1215">
        <f>+'1 SAL'!T113</f>
        <v>0</v>
      </c>
      <c r="BR7" s="1213" t="e">
        <f ca="1">+(BP7*Anagrafica!$F$38-BS7)</f>
        <v>#REF!</v>
      </c>
      <c r="BS7" s="1213" t="e">
        <f ca="1">IF(Anagrafica!$G$2="Capo II",(BP7/'Calcolo contributo CAPO II'!$C$23)*Anagrafica!$C$37,BP7/(GBER!$C$11+GBER!$C$13)*Anagrafica!$C$37)</f>
        <v>#REF!</v>
      </c>
    </row>
    <row r="8" spans="1:71" x14ac:dyDescent="0.35">
      <c r="A8" t="str">
        <f t="shared" si="5"/>
        <v>NO</v>
      </c>
      <c r="B8" t="str">
        <f t="shared" si="5"/>
        <v>NO</v>
      </c>
      <c r="C8" t="str">
        <f t="shared" si="0"/>
        <v>NO</v>
      </c>
      <c r="D8" t="str">
        <f t="shared" si="0"/>
        <v>NO</v>
      </c>
      <c r="E8" t="str">
        <f t="shared" si="0"/>
        <v>NO</v>
      </c>
      <c r="F8" t="str">
        <f t="shared" si="0"/>
        <v/>
      </c>
      <c r="H8" s="1196" t="str">
        <f t="shared" si="6"/>
        <v/>
      </c>
      <c r="Q8" t="str">
        <f t="shared" si="7"/>
        <v>NO</v>
      </c>
      <c r="R8" t="str">
        <f t="shared" si="1"/>
        <v>NO</v>
      </c>
      <c r="S8" t="str">
        <f t="shared" si="1"/>
        <v>NO</v>
      </c>
      <c r="T8" t="str">
        <f t="shared" si="1"/>
        <v>NO</v>
      </c>
      <c r="U8" t="str">
        <f t="shared" si="1"/>
        <v>NO</v>
      </c>
      <c r="V8" t="str">
        <f t="shared" si="1"/>
        <v/>
      </c>
      <c r="W8" t="str">
        <f t="shared" si="8"/>
        <v/>
      </c>
      <c r="X8" s="1196" t="str">
        <f t="shared" si="9"/>
        <v/>
      </c>
      <c r="AG8" t="str">
        <f t="shared" si="10"/>
        <v>NO</v>
      </c>
      <c r="AH8" t="str">
        <f t="shared" si="3"/>
        <v>NO</v>
      </c>
      <c r="AI8" t="str">
        <f t="shared" si="3"/>
        <v>NO</v>
      </c>
      <c r="AJ8" t="str">
        <f t="shared" si="3"/>
        <v>NO</v>
      </c>
      <c r="AK8" t="str">
        <f t="shared" si="3"/>
        <v>NO</v>
      </c>
      <c r="AL8" t="str">
        <f t="shared" si="3"/>
        <v/>
      </c>
      <c r="AN8" s="1196" t="str">
        <f t="shared" si="11"/>
        <v/>
      </c>
      <c r="BA8" s="1196" t="str">
        <f t="shared" si="12"/>
        <v/>
      </c>
      <c r="BE8" s="1198"/>
      <c r="BF8" s="1198">
        <f ca="1">IFERROR(VLOOKUP(BB8,S$2:AG$1048576,12,FALSE),0)</f>
        <v>0</v>
      </c>
      <c r="BG8" s="1196" t="e">
        <f t="shared" ca="1" si="13"/>
        <v>#REF!</v>
      </c>
      <c r="BH8" s="1196" t="e">
        <f t="shared" ca="1" si="14"/>
        <v>#REF!</v>
      </c>
      <c r="BI8" s="1196" t="e">
        <f t="shared" ca="1" si="15"/>
        <v>#REF!</v>
      </c>
      <c r="BJ8" s="1196" t="e">
        <f t="shared" ca="1" si="16"/>
        <v>#REF!</v>
      </c>
      <c r="BK8" s="1196" t="e">
        <f t="shared" ca="1" si="17"/>
        <v>#REF!</v>
      </c>
      <c r="BL8" s="1196" t="e">
        <f t="shared" ca="1" si="18"/>
        <v>#REF!</v>
      </c>
      <c r="BO8" t="str">
        <f>+IF(Anagrafica!$G$2="Capo II","Consulenze specialistiche","TOTALE PROGRAMMA DI SPESA")</f>
        <v>TOTALE PROGRAMMA DI SPESA</v>
      </c>
      <c r="BP8" t="e">
        <f ca="1">SUM(BJ:BJ)</f>
        <v>#REF!</v>
      </c>
      <c r="BQ8" s="1215">
        <f>+'1 SAL'!T114</f>
        <v>0</v>
      </c>
      <c r="BR8" s="1213" t="str">
        <f ca="1">+IFERROR(+BP8*Anagrafica!W38,"")</f>
        <v/>
      </c>
      <c r="BS8" s="1213">
        <v>0</v>
      </c>
    </row>
    <row r="9" spans="1:71" x14ac:dyDescent="0.35">
      <c r="A9" t="str">
        <f t="shared" si="5"/>
        <v>NO</v>
      </c>
      <c r="B9" t="str">
        <f t="shared" si="5"/>
        <v>NO</v>
      </c>
      <c r="C9" t="str">
        <f t="shared" si="0"/>
        <v>NO</v>
      </c>
      <c r="D9" t="str">
        <f t="shared" si="0"/>
        <v>NO</v>
      </c>
      <c r="E9" t="str">
        <f t="shared" si="0"/>
        <v>NO</v>
      </c>
      <c r="F9" t="str">
        <f t="shared" si="0"/>
        <v/>
      </c>
      <c r="H9" s="1196" t="str">
        <f t="shared" si="6"/>
        <v/>
      </c>
      <c r="Q9" t="str">
        <f t="shared" si="7"/>
        <v>NO</v>
      </c>
      <c r="R9" t="str">
        <f t="shared" si="1"/>
        <v>NO</v>
      </c>
      <c r="S9" t="str">
        <f t="shared" si="1"/>
        <v>NO</v>
      </c>
      <c r="T9" t="str">
        <f t="shared" si="1"/>
        <v>NO</v>
      </c>
      <c r="U9" t="str">
        <f t="shared" si="1"/>
        <v>NO</v>
      </c>
      <c r="V9" t="str">
        <f t="shared" si="1"/>
        <v/>
      </c>
      <c r="W9" t="str">
        <f t="shared" si="8"/>
        <v/>
      </c>
      <c r="X9" s="1196" t="str">
        <f t="shared" si="9"/>
        <v/>
      </c>
      <c r="AG9" t="str">
        <f t="shared" si="10"/>
        <v>NO</v>
      </c>
      <c r="AH9" t="str">
        <f t="shared" si="3"/>
        <v>NO</v>
      </c>
      <c r="AI9" t="str">
        <f t="shared" si="3"/>
        <v>NO</v>
      </c>
      <c r="AJ9" t="str">
        <f t="shared" si="3"/>
        <v>NO</v>
      </c>
      <c r="AK9" t="str">
        <f t="shared" si="3"/>
        <v>NO</v>
      </c>
      <c r="AL9" t="str">
        <f t="shared" si="3"/>
        <v/>
      </c>
      <c r="AN9" s="1196" t="str">
        <f t="shared" si="11"/>
        <v/>
      </c>
      <c r="BA9" s="1196" t="str">
        <f t="shared" si="12"/>
        <v/>
      </c>
      <c r="BE9" s="1198"/>
      <c r="BF9" s="1198">
        <f ca="1">IFERROR(VLOOKUP(BB9,S$2:AG$1048576,12,FALSE),0)</f>
        <v>0</v>
      </c>
      <c r="BG9" s="1196" t="e">
        <f t="shared" ca="1" si="13"/>
        <v>#REF!</v>
      </c>
      <c r="BH9" s="1196" t="e">
        <f t="shared" ca="1" si="14"/>
        <v>#REF!</v>
      </c>
      <c r="BI9" s="1196" t="e">
        <f t="shared" ca="1" si="15"/>
        <v>#REF!</v>
      </c>
      <c r="BJ9" s="1196" t="e">
        <f t="shared" ca="1" si="16"/>
        <v>#REF!</v>
      </c>
      <c r="BK9" s="1196" t="e">
        <f t="shared" ca="1" si="17"/>
        <v>#REF!</v>
      </c>
      <c r="BL9" s="1196" t="e">
        <f t="shared" ca="1" si="18"/>
        <v>#REF!</v>
      </c>
      <c r="BO9" t="str">
        <f>+IF(Anagrafica!$G$2="Capo II","Oneri notarili connessi alla stipula del contratto di finanziamento ed oneri connessi alla costituzione della società","")</f>
        <v/>
      </c>
      <c r="BP9" t="e">
        <f ca="1">SUM(BK:BK)</f>
        <v>#REF!</v>
      </c>
      <c r="BQ9" s="1215">
        <f>+'1 SAL'!T115</f>
        <v>0</v>
      </c>
      <c r="BR9" s="1213" t="str">
        <f ca="1">+IFERROR(+BP9*Anagrafica!W39,"")</f>
        <v/>
      </c>
      <c r="BS9" s="1213">
        <v>0</v>
      </c>
    </row>
    <row r="10" spans="1:71" x14ac:dyDescent="0.35">
      <c r="A10" t="str">
        <f t="shared" si="5"/>
        <v>NO</v>
      </c>
      <c r="B10" t="str">
        <f t="shared" si="5"/>
        <v>NO</v>
      </c>
      <c r="C10" t="str">
        <f t="shared" si="0"/>
        <v>NO</v>
      </c>
      <c r="D10" t="str">
        <f t="shared" si="0"/>
        <v>NO</v>
      </c>
      <c r="E10" t="str">
        <f t="shared" si="0"/>
        <v>NO</v>
      </c>
      <c r="F10" t="str">
        <f t="shared" si="0"/>
        <v/>
      </c>
      <c r="H10" s="1196" t="str">
        <f t="shared" si="6"/>
        <v/>
      </c>
      <c r="Q10" t="str">
        <f t="shared" si="7"/>
        <v>NO</v>
      </c>
      <c r="R10" t="str">
        <f t="shared" si="1"/>
        <v>NO</v>
      </c>
      <c r="S10" t="str">
        <f t="shared" si="1"/>
        <v>NO</v>
      </c>
      <c r="T10" t="str">
        <f t="shared" si="1"/>
        <v>NO</v>
      </c>
      <c r="U10" t="str">
        <f t="shared" si="1"/>
        <v>NO</v>
      </c>
      <c r="V10" t="str">
        <f t="shared" si="1"/>
        <v/>
      </c>
      <c r="W10" t="str">
        <f t="shared" si="8"/>
        <v/>
      </c>
      <c r="X10" s="1196" t="str">
        <f t="shared" si="9"/>
        <v/>
      </c>
      <c r="AG10" t="str">
        <f t="shared" si="10"/>
        <v>NO</v>
      </c>
      <c r="AH10" t="str">
        <f t="shared" si="3"/>
        <v>NO</v>
      </c>
      <c r="AI10" t="str">
        <f t="shared" si="3"/>
        <v>NO</v>
      </c>
      <c r="AJ10" t="str">
        <f t="shared" si="3"/>
        <v>NO</v>
      </c>
      <c r="AK10" t="str">
        <f t="shared" si="3"/>
        <v>NO</v>
      </c>
      <c r="AL10" t="str">
        <f t="shared" si="3"/>
        <v/>
      </c>
      <c r="AN10" s="1196" t="str">
        <f t="shared" si="11"/>
        <v/>
      </c>
      <c r="BA10" s="1196" t="str">
        <f t="shared" si="12"/>
        <v/>
      </c>
      <c r="BE10" s="1198"/>
      <c r="BF10" s="1198">
        <f ca="1">IFERROR(VLOOKUP(BB10,S$2:AG$1048576,12,FALSE),0)</f>
        <v>0</v>
      </c>
      <c r="BG10" s="1196" t="e">
        <f t="shared" ca="1" si="13"/>
        <v>#REF!</v>
      </c>
      <c r="BH10" s="1196" t="e">
        <f t="shared" ca="1" si="14"/>
        <v>#REF!</v>
      </c>
      <c r="BI10" s="1196" t="e">
        <f t="shared" ca="1" si="15"/>
        <v>#REF!</v>
      </c>
      <c r="BJ10" s="1196" t="e">
        <f t="shared" ca="1" si="16"/>
        <v>#REF!</v>
      </c>
      <c r="BK10" s="1196" t="e">
        <f t="shared" ca="1" si="17"/>
        <v>#REF!</v>
      </c>
      <c r="BL10" s="1196" t="e">
        <f t="shared" ca="1" si="18"/>
        <v>#REF!</v>
      </c>
      <c r="BO10" t="str">
        <f>+IF(Anagrafica!$G$2="Capo II","TOTALE INVESTIMENTO","")</f>
        <v/>
      </c>
      <c r="BP10">
        <f ca="1">+SUMIF(BC:BD,BO10,BC:BC)</f>
        <v>0</v>
      </c>
      <c r="BQ10" s="1215">
        <f>+'1 SAL'!T116</f>
        <v>0</v>
      </c>
      <c r="BR10" s="596">
        <f>+'1 SAL'!AO115</f>
        <v>0</v>
      </c>
      <c r="BS10" s="596">
        <v>0</v>
      </c>
    </row>
    <row r="11" spans="1:71" x14ac:dyDescent="0.35">
      <c r="A11" t="str">
        <f t="shared" si="5"/>
        <v>NO</v>
      </c>
      <c r="B11" t="str">
        <f t="shared" si="5"/>
        <v>NO</v>
      </c>
      <c r="C11" t="str">
        <f t="shared" si="0"/>
        <v>NO</v>
      </c>
      <c r="D11" t="str">
        <f t="shared" si="0"/>
        <v>NO</v>
      </c>
      <c r="E11" t="str">
        <f t="shared" si="0"/>
        <v>NO</v>
      </c>
      <c r="F11" t="str">
        <f t="shared" si="0"/>
        <v/>
      </c>
      <c r="H11" s="1196" t="str">
        <f t="shared" si="6"/>
        <v/>
      </c>
      <c r="Q11" t="str">
        <f t="shared" si="7"/>
        <v>NO</v>
      </c>
      <c r="R11" t="str">
        <f t="shared" si="1"/>
        <v>NO</v>
      </c>
      <c r="S11" t="str">
        <f t="shared" si="1"/>
        <v>NO</v>
      </c>
      <c r="T11" t="str">
        <f t="shared" si="1"/>
        <v>NO</v>
      </c>
      <c r="U11" t="str">
        <f t="shared" si="1"/>
        <v>NO</v>
      </c>
      <c r="V11" t="str">
        <f t="shared" si="1"/>
        <v/>
      </c>
      <c r="W11" t="str">
        <f t="shared" si="8"/>
        <v/>
      </c>
      <c r="X11" s="1196" t="str">
        <f t="shared" si="9"/>
        <v/>
      </c>
      <c r="AG11" t="str">
        <f t="shared" si="10"/>
        <v>NO</v>
      </c>
      <c r="AH11" t="str">
        <f t="shared" si="3"/>
        <v>NO</v>
      </c>
      <c r="AI11" t="str">
        <f t="shared" si="3"/>
        <v>NO</v>
      </c>
      <c r="AJ11" t="str">
        <f t="shared" si="3"/>
        <v>NO</v>
      </c>
      <c r="AK11" t="str">
        <f t="shared" si="3"/>
        <v>NO</v>
      </c>
      <c r="AL11" t="str">
        <f t="shared" si="3"/>
        <v/>
      </c>
      <c r="AN11" s="1196" t="str">
        <f t="shared" si="11"/>
        <v/>
      </c>
      <c r="BA11" s="1196" t="str">
        <f t="shared" si="12"/>
        <v/>
      </c>
      <c r="BE11" s="1198"/>
      <c r="BF11" s="1198"/>
      <c r="BG11" s="1196" t="e">
        <f t="shared" ca="1" si="13"/>
        <v>#REF!</v>
      </c>
      <c r="BH11" s="1196" t="e">
        <f t="shared" ca="1" si="14"/>
        <v>#REF!</v>
      </c>
      <c r="BI11" s="1196" t="e">
        <f t="shared" ca="1" si="15"/>
        <v>#REF!</v>
      </c>
      <c r="BJ11" s="1196" t="e">
        <f t="shared" ca="1" si="16"/>
        <v>#REF!</v>
      </c>
      <c r="BK11" s="1196" t="e">
        <f t="shared" ca="1" si="17"/>
        <v>#REF!</v>
      </c>
      <c r="BL11" s="1196" t="e">
        <f t="shared" ca="1" si="18"/>
        <v>#REF!</v>
      </c>
      <c r="BO11" t="str">
        <f>+IF(Anagrafica!$G$2="Capo II","Capitale circolante","")</f>
        <v/>
      </c>
      <c r="BP11">
        <f ca="1">+SUMIF(BC:BD,BO11,BC:BC)</f>
        <v>0</v>
      </c>
      <c r="BQ11" s="1215">
        <f>+'1 SAL'!T117</f>
        <v>0</v>
      </c>
      <c r="BR11" s="596">
        <f>+'1 SAL'!AO116</f>
        <v>0</v>
      </c>
      <c r="BS11" s="596">
        <v>0</v>
      </c>
    </row>
    <row r="12" spans="1:71" x14ac:dyDescent="0.35">
      <c r="A12" t="str">
        <f t="shared" si="5"/>
        <v>NO</v>
      </c>
      <c r="B12" t="str">
        <f t="shared" si="5"/>
        <v>NO</v>
      </c>
      <c r="C12" t="str">
        <f t="shared" si="0"/>
        <v>NO</v>
      </c>
      <c r="D12" t="str">
        <f t="shared" si="0"/>
        <v>NO</v>
      </c>
      <c r="E12" t="str">
        <f t="shared" si="0"/>
        <v>NO</v>
      </c>
      <c r="F12" t="str">
        <f t="shared" si="0"/>
        <v/>
      </c>
      <c r="H12" s="1196" t="str">
        <f t="shared" si="6"/>
        <v/>
      </c>
      <c r="Q12" t="str">
        <f t="shared" si="7"/>
        <v>NO</v>
      </c>
      <c r="R12" t="str">
        <f t="shared" si="1"/>
        <v>NO</v>
      </c>
      <c r="S12" t="str">
        <f t="shared" si="1"/>
        <v>NO</v>
      </c>
      <c r="T12" t="str">
        <f t="shared" si="1"/>
        <v>NO</v>
      </c>
      <c r="U12" t="str">
        <f t="shared" si="1"/>
        <v>NO</v>
      </c>
      <c r="V12" t="str">
        <f t="shared" si="1"/>
        <v/>
      </c>
      <c r="W12" t="str">
        <f t="shared" si="8"/>
        <v/>
      </c>
      <c r="X12" s="1196" t="str">
        <f t="shared" si="9"/>
        <v/>
      </c>
      <c r="AG12" t="str">
        <f t="shared" si="10"/>
        <v>NO</v>
      </c>
      <c r="AH12" t="str">
        <f t="shared" si="3"/>
        <v>NO</v>
      </c>
      <c r="AI12" t="str">
        <f t="shared" si="3"/>
        <v>NO</v>
      </c>
      <c r="AJ12" t="str">
        <f t="shared" si="3"/>
        <v>NO</v>
      </c>
      <c r="AK12" t="str">
        <f t="shared" si="3"/>
        <v>NO</v>
      </c>
      <c r="AL12" t="str">
        <f t="shared" si="3"/>
        <v/>
      </c>
      <c r="AN12" s="1196" t="str">
        <f t="shared" si="11"/>
        <v/>
      </c>
      <c r="BA12" s="1196" t="str">
        <f t="shared" si="12"/>
        <v/>
      </c>
      <c r="BE12" s="1198"/>
      <c r="BF12" s="1198"/>
      <c r="BG12" s="1196" t="e">
        <f t="shared" ca="1" si="13"/>
        <v>#REF!</v>
      </c>
      <c r="BH12" s="1196" t="e">
        <f t="shared" ca="1" si="14"/>
        <v>#REF!</v>
      </c>
      <c r="BI12" s="1196" t="e">
        <f t="shared" ca="1" si="15"/>
        <v>#REF!</v>
      </c>
      <c r="BJ12" s="1196" t="e">
        <f t="shared" ca="1" si="16"/>
        <v>#REF!</v>
      </c>
      <c r="BK12" s="1196" t="e">
        <f t="shared" ca="1" si="17"/>
        <v>#REF!</v>
      </c>
      <c r="BL12" s="1196" t="e">
        <f t="shared" ca="1" si="18"/>
        <v>#REF!</v>
      </c>
      <c r="BO12">
        <f>+'1 SAL'!AM117</f>
        <v>0</v>
      </c>
      <c r="BP12">
        <f ca="1">+SUMIF(BC:BD,BO12,BC:BC)</f>
        <v>0</v>
      </c>
      <c r="BQ12" s="1215">
        <f>+'1 SAL'!T118</f>
        <v>0</v>
      </c>
      <c r="BR12" s="596">
        <f>+'1 SAL'!AO117</f>
        <v>0</v>
      </c>
      <c r="BS12" s="596">
        <v>0</v>
      </c>
    </row>
    <row r="13" spans="1:71" x14ac:dyDescent="0.35">
      <c r="A13" t="str">
        <f t="shared" si="5"/>
        <v>NO</v>
      </c>
      <c r="B13" t="str">
        <f t="shared" si="5"/>
        <v>NO</v>
      </c>
      <c r="C13" t="str">
        <f t="shared" si="0"/>
        <v>NO</v>
      </c>
      <c r="D13" t="str">
        <f t="shared" si="0"/>
        <v>NO</v>
      </c>
      <c r="E13" t="str">
        <f t="shared" si="0"/>
        <v>NO</v>
      </c>
      <c r="F13" t="str">
        <f t="shared" si="0"/>
        <v/>
      </c>
      <c r="H13" s="1196" t="str">
        <f t="shared" si="6"/>
        <v/>
      </c>
      <c r="Q13" t="str">
        <f t="shared" si="7"/>
        <v>NO</v>
      </c>
      <c r="R13" t="str">
        <f t="shared" si="1"/>
        <v>NO</v>
      </c>
      <c r="S13" t="str">
        <f t="shared" si="1"/>
        <v>NO</v>
      </c>
      <c r="T13" t="str">
        <f t="shared" si="1"/>
        <v>NO</v>
      </c>
      <c r="U13" t="str">
        <f t="shared" si="1"/>
        <v>NO</v>
      </c>
      <c r="V13" t="str">
        <f t="shared" si="1"/>
        <v/>
      </c>
      <c r="W13" t="str">
        <f t="shared" si="8"/>
        <v/>
      </c>
      <c r="X13" s="1196" t="str">
        <f t="shared" si="9"/>
        <v/>
      </c>
      <c r="AG13" t="str">
        <f t="shared" si="10"/>
        <v>NO</v>
      </c>
      <c r="AH13" t="str">
        <f t="shared" si="3"/>
        <v>NO</v>
      </c>
      <c r="AI13" t="str">
        <f t="shared" si="3"/>
        <v>NO</v>
      </c>
      <c r="AJ13" t="str">
        <f t="shared" si="3"/>
        <v>NO</v>
      </c>
      <c r="AK13" t="str">
        <f t="shared" si="3"/>
        <v>NO</v>
      </c>
      <c r="AL13" t="str">
        <f t="shared" si="3"/>
        <v/>
      </c>
      <c r="AN13" s="1196" t="str">
        <f t="shared" si="11"/>
        <v/>
      </c>
      <c r="BA13" s="1196" t="str">
        <f t="shared" si="12"/>
        <v/>
      </c>
      <c r="BE13" s="1198"/>
      <c r="BF13" s="1198"/>
      <c r="BG13" s="1196" t="e">
        <f t="shared" ca="1" si="13"/>
        <v>#REF!</v>
      </c>
      <c r="BH13" s="1196" t="e">
        <f t="shared" ca="1" si="14"/>
        <v>#REF!</v>
      </c>
      <c r="BI13" s="1196" t="e">
        <f t="shared" ca="1" si="15"/>
        <v>#REF!</v>
      </c>
      <c r="BJ13" s="1196" t="e">
        <f t="shared" ca="1" si="16"/>
        <v>#REF!</v>
      </c>
      <c r="BK13" s="1196" t="e">
        <f t="shared" ca="1" si="17"/>
        <v>#REF!</v>
      </c>
      <c r="BL13" s="1196" t="e">
        <f t="shared" ca="1" si="18"/>
        <v>#REF!</v>
      </c>
    </row>
    <row r="14" spans="1:71" x14ac:dyDescent="0.35">
      <c r="A14" t="str">
        <f t="shared" si="5"/>
        <v>NO</v>
      </c>
      <c r="B14" t="str">
        <f t="shared" si="5"/>
        <v>NO</v>
      </c>
      <c r="C14" t="str">
        <f t="shared" si="0"/>
        <v>NO</v>
      </c>
      <c r="D14" t="str">
        <f t="shared" si="0"/>
        <v>NO</v>
      </c>
      <c r="E14" t="str">
        <f t="shared" si="0"/>
        <v>NO</v>
      </c>
      <c r="F14" t="str">
        <f t="shared" si="0"/>
        <v/>
      </c>
      <c r="H14" s="1196" t="str">
        <f t="shared" si="6"/>
        <v/>
      </c>
      <c r="Q14" t="str">
        <f t="shared" si="7"/>
        <v>NO</v>
      </c>
      <c r="R14" t="str">
        <f t="shared" si="1"/>
        <v>NO</v>
      </c>
      <c r="S14" t="str">
        <f t="shared" si="1"/>
        <v>NO</v>
      </c>
      <c r="T14" t="str">
        <f t="shared" si="1"/>
        <v>NO</v>
      </c>
      <c r="U14" t="str">
        <f t="shared" si="1"/>
        <v>NO</v>
      </c>
      <c r="V14" t="str">
        <f t="shared" si="1"/>
        <v/>
      </c>
      <c r="W14" t="str">
        <f t="shared" si="8"/>
        <v/>
      </c>
      <c r="X14" s="1196" t="str">
        <f t="shared" si="9"/>
        <v/>
      </c>
      <c r="AG14" t="str">
        <f t="shared" si="10"/>
        <v>NO</v>
      </c>
      <c r="AH14" t="str">
        <f t="shared" si="3"/>
        <v>NO</v>
      </c>
      <c r="AI14" t="str">
        <f t="shared" si="3"/>
        <v>NO</v>
      </c>
      <c r="AJ14" t="str">
        <f t="shared" si="3"/>
        <v>NO</v>
      </c>
      <c r="AK14" t="str">
        <f t="shared" si="3"/>
        <v>NO</v>
      </c>
      <c r="AL14" t="str">
        <f t="shared" si="3"/>
        <v/>
      </c>
      <c r="AN14" s="1196" t="str">
        <f t="shared" si="11"/>
        <v/>
      </c>
      <c r="BA14" s="1196" t="str">
        <f t="shared" si="12"/>
        <v/>
      </c>
      <c r="BE14" s="1198"/>
      <c r="BF14" s="1198"/>
      <c r="BG14" s="1196" t="e">
        <f t="shared" ca="1" si="13"/>
        <v>#REF!</v>
      </c>
      <c r="BH14" s="1196" t="e">
        <f t="shared" ca="1" si="14"/>
        <v>#REF!</v>
      </c>
      <c r="BI14" s="1196" t="e">
        <f t="shared" ca="1" si="15"/>
        <v>#REF!</v>
      </c>
      <c r="BJ14" s="1196" t="e">
        <f t="shared" ca="1" si="16"/>
        <v>#REF!</v>
      </c>
      <c r="BK14" s="1196" t="e">
        <f t="shared" ca="1" si="17"/>
        <v>#REF!</v>
      </c>
      <c r="BL14" s="1196" t="e">
        <f t="shared" ca="1" si="18"/>
        <v>#REF!</v>
      </c>
      <c r="BQ14" t="s">
        <v>2291</v>
      </c>
      <c r="BR14" s="316" t="e">
        <f ca="1">+SUM(BR4:BR12)</f>
        <v>#REF!</v>
      </c>
      <c r="BS14" s="316" t="e">
        <f ca="1">+SUM(BS4:BS12)</f>
        <v>#REF!</v>
      </c>
    </row>
    <row r="15" spans="1:71" ht="18" customHeight="1" x14ac:dyDescent="0.35">
      <c r="A15" t="str">
        <f t="shared" si="5"/>
        <v>NO</v>
      </c>
      <c r="B15" t="str">
        <f t="shared" si="5"/>
        <v>NO</v>
      </c>
      <c r="C15" t="str">
        <f t="shared" si="0"/>
        <v>NO</v>
      </c>
      <c r="D15" t="str">
        <f t="shared" si="0"/>
        <v>NO</v>
      </c>
      <c r="E15" t="str">
        <f t="shared" si="0"/>
        <v>NO</v>
      </c>
      <c r="F15" t="str">
        <f t="shared" si="0"/>
        <v/>
      </c>
      <c r="H15" s="1196" t="str">
        <f t="shared" si="6"/>
        <v/>
      </c>
      <c r="Q15" t="str">
        <f t="shared" si="7"/>
        <v>NO</v>
      </c>
      <c r="R15" t="str">
        <f t="shared" si="1"/>
        <v>NO</v>
      </c>
      <c r="S15" t="str">
        <f t="shared" si="1"/>
        <v>NO</v>
      </c>
      <c r="T15" t="str">
        <f t="shared" si="1"/>
        <v>NO</v>
      </c>
      <c r="U15" t="str">
        <f t="shared" si="1"/>
        <v>NO</v>
      </c>
      <c r="V15" t="str">
        <f t="shared" si="1"/>
        <v/>
      </c>
      <c r="W15" t="str">
        <f t="shared" si="8"/>
        <v/>
      </c>
      <c r="X15" s="1196" t="str">
        <f t="shared" si="9"/>
        <v/>
      </c>
      <c r="AG15" t="str">
        <f t="shared" si="10"/>
        <v>NO</v>
      </c>
      <c r="AH15" t="str">
        <f t="shared" si="3"/>
        <v>NO</v>
      </c>
      <c r="AI15" t="str">
        <f t="shared" si="3"/>
        <v>NO</v>
      </c>
      <c r="AJ15" t="str">
        <f t="shared" si="3"/>
        <v>NO</v>
      </c>
      <c r="AK15" t="str">
        <f t="shared" si="3"/>
        <v>NO</v>
      </c>
      <c r="AL15" t="str">
        <f t="shared" si="3"/>
        <v/>
      </c>
      <c r="AN15" s="1196" t="str">
        <f t="shared" si="11"/>
        <v/>
      </c>
      <c r="BA15" s="1196" t="str">
        <f t="shared" si="12"/>
        <v/>
      </c>
      <c r="BE15" s="1198"/>
      <c r="BF15" s="1198"/>
      <c r="BG15" s="1196" t="e">
        <f t="shared" ca="1" si="13"/>
        <v>#REF!</v>
      </c>
      <c r="BH15" s="1196" t="e">
        <f t="shared" ca="1" si="14"/>
        <v>#REF!</v>
      </c>
      <c r="BI15" s="1196" t="e">
        <f t="shared" ca="1" si="15"/>
        <v>#REF!</v>
      </c>
      <c r="BJ15" s="1196" t="e">
        <f t="shared" ca="1" si="16"/>
        <v>#REF!</v>
      </c>
      <c r="BK15" s="1196" t="e">
        <f t="shared" ca="1" si="17"/>
        <v>#REF!</v>
      </c>
      <c r="BL15" s="1196" t="e">
        <f t="shared" ca="1" si="18"/>
        <v>#REF!</v>
      </c>
      <c r="BP15" t="s">
        <v>2292</v>
      </c>
      <c r="BR15" s="1212">
        <f ca="1">+IF(Anagrafica!$G$2="Capo II",+'3 SAL VNQ TAB'!$O$11,'3 SAL VNQ TAB'!$O$9)</f>
        <v>0</v>
      </c>
      <c r="BS15" s="264">
        <f ca="1">+IF(Anagrafica!$G$2="Capo II",+'3 SAL VNQ TAB'!$N$11,'3 SAL VNQ TAB'!$N$9)</f>
        <v>0</v>
      </c>
    </row>
    <row r="16" spans="1:71" x14ac:dyDescent="0.35">
      <c r="A16" t="str">
        <f t="shared" si="5"/>
        <v>NO</v>
      </c>
      <c r="B16" t="str">
        <f t="shared" si="5"/>
        <v>NO</v>
      </c>
      <c r="C16" t="str">
        <f t="shared" si="0"/>
        <v>NO</v>
      </c>
      <c r="D16" t="str">
        <f t="shared" si="0"/>
        <v>NO</v>
      </c>
      <c r="E16" t="str">
        <f t="shared" si="0"/>
        <v>NO</v>
      </c>
      <c r="F16" t="str">
        <f t="shared" si="0"/>
        <v/>
      </c>
      <c r="H16" s="1196" t="str">
        <f t="shared" si="6"/>
        <v/>
      </c>
      <c r="Q16" t="str">
        <f t="shared" si="7"/>
        <v>NO</v>
      </c>
      <c r="R16" t="str">
        <f t="shared" si="1"/>
        <v>NO</v>
      </c>
      <c r="S16" t="str">
        <f t="shared" si="1"/>
        <v>NO</v>
      </c>
      <c r="T16" t="str">
        <f t="shared" si="1"/>
        <v>NO</v>
      </c>
      <c r="U16" t="str">
        <f t="shared" si="1"/>
        <v>NO</v>
      </c>
      <c r="V16" t="str">
        <f t="shared" si="1"/>
        <v/>
      </c>
      <c r="W16" t="str">
        <f t="shared" si="8"/>
        <v/>
      </c>
      <c r="X16" s="1196" t="str">
        <f t="shared" si="9"/>
        <v/>
      </c>
      <c r="AG16" t="str">
        <f t="shared" si="10"/>
        <v>NO</v>
      </c>
      <c r="AH16" t="str">
        <f t="shared" si="3"/>
        <v>NO</v>
      </c>
      <c r="AI16" t="str">
        <f t="shared" si="3"/>
        <v>NO</v>
      </c>
      <c r="AJ16" t="str">
        <f t="shared" si="3"/>
        <v>NO</v>
      </c>
      <c r="AK16" t="str">
        <f t="shared" si="3"/>
        <v>NO</v>
      </c>
      <c r="AL16" t="str">
        <f t="shared" si="3"/>
        <v/>
      </c>
      <c r="AN16" s="1196" t="str">
        <f t="shared" si="11"/>
        <v/>
      </c>
      <c r="BA16" s="1196" t="str">
        <f t="shared" si="12"/>
        <v/>
      </c>
      <c r="BE16" s="1198"/>
      <c r="BF16" s="1198"/>
      <c r="BG16" s="1196" t="e">
        <f t="shared" ca="1" si="13"/>
        <v>#REF!</v>
      </c>
      <c r="BH16" s="1196" t="e">
        <f t="shared" ca="1" si="14"/>
        <v>#REF!</v>
      </c>
      <c r="BI16" s="1196" t="e">
        <f t="shared" ca="1" si="15"/>
        <v>#REF!</v>
      </c>
      <c r="BJ16" s="1196" t="e">
        <f t="shared" ca="1" si="16"/>
        <v>#REF!</v>
      </c>
      <c r="BK16" s="1196" t="e">
        <f t="shared" ca="1" si="17"/>
        <v>#REF!</v>
      </c>
      <c r="BL16" s="1196" t="e">
        <f t="shared" ca="1" si="18"/>
        <v>#REF!</v>
      </c>
    </row>
    <row r="17" spans="1:71" x14ac:dyDescent="0.35">
      <c r="A17" t="str">
        <f t="shared" si="5"/>
        <v>NO</v>
      </c>
      <c r="B17" t="str">
        <f t="shared" si="5"/>
        <v>NO</v>
      </c>
      <c r="C17" t="str">
        <f t="shared" si="0"/>
        <v>NO</v>
      </c>
      <c r="D17" t="str">
        <f t="shared" si="0"/>
        <v>NO</v>
      </c>
      <c r="E17" t="str">
        <f t="shared" si="0"/>
        <v>NO</v>
      </c>
      <c r="F17" t="str">
        <f t="shared" si="0"/>
        <v/>
      </c>
      <c r="H17" s="1196" t="str">
        <f t="shared" si="6"/>
        <v/>
      </c>
      <c r="Q17" t="str">
        <f t="shared" si="7"/>
        <v>NO</v>
      </c>
      <c r="R17" t="str">
        <f t="shared" si="1"/>
        <v>NO</v>
      </c>
      <c r="S17" t="str">
        <f t="shared" si="1"/>
        <v>NO</v>
      </c>
      <c r="T17" t="str">
        <f t="shared" si="1"/>
        <v>NO</v>
      </c>
      <c r="U17" t="str">
        <f t="shared" si="1"/>
        <v>NO</v>
      </c>
      <c r="V17" t="str">
        <f t="shared" si="1"/>
        <v/>
      </c>
      <c r="W17" t="str">
        <f t="shared" si="8"/>
        <v/>
      </c>
      <c r="X17" s="1196" t="str">
        <f t="shared" si="9"/>
        <v/>
      </c>
      <c r="AG17" t="str">
        <f t="shared" si="10"/>
        <v>NO</v>
      </c>
      <c r="AH17" t="str">
        <f t="shared" si="3"/>
        <v>NO</v>
      </c>
      <c r="AI17" t="str">
        <f t="shared" si="3"/>
        <v>NO</v>
      </c>
      <c r="AJ17" t="str">
        <f t="shared" si="3"/>
        <v>NO</v>
      </c>
      <c r="AK17" t="str">
        <f t="shared" si="3"/>
        <v>NO</v>
      </c>
      <c r="AL17" t="str">
        <f t="shared" si="3"/>
        <v/>
      </c>
      <c r="AN17" s="1196" t="str">
        <f t="shared" si="11"/>
        <v/>
      </c>
      <c r="BA17" s="1196" t="str">
        <f t="shared" si="12"/>
        <v/>
      </c>
      <c r="BE17" s="1198"/>
      <c r="BF17" s="1198"/>
      <c r="BG17" s="1196" t="e">
        <f t="shared" ca="1" si="13"/>
        <v>#REF!</v>
      </c>
      <c r="BH17" s="1196" t="e">
        <f t="shared" ca="1" si="14"/>
        <v>#REF!</v>
      </c>
      <c r="BI17" s="1196" t="e">
        <f t="shared" ca="1" si="15"/>
        <v>#REF!</v>
      </c>
      <c r="BJ17" s="1196" t="e">
        <f t="shared" ca="1" si="16"/>
        <v>#REF!</v>
      </c>
      <c r="BK17" s="1196" t="e">
        <f t="shared" ca="1" si="17"/>
        <v>#REF!</v>
      </c>
      <c r="BL17" s="1196" t="e">
        <f t="shared" ca="1" si="18"/>
        <v>#REF!</v>
      </c>
      <c r="BQ17" t="s">
        <v>2311</v>
      </c>
      <c r="BR17" s="264" t="e">
        <f ca="1">+IF(+BR15-BR14&lt;0,0,+BR15-BR14)</f>
        <v>#REF!</v>
      </c>
      <c r="BS17" s="264" t="e">
        <f ca="1">+IF(+BS15-BS14&lt;0,0,+BS15-BS14)</f>
        <v>#REF!</v>
      </c>
    </row>
    <row r="18" spans="1:71" x14ac:dyDescent="0.35">
      <c r="A18" t="str">
        <f t="shared" si="5"/>
        <v>NO</v>
      </c>
      <c r="B18" t="str">
        <f t="shared" si="5"/>
        <v>NO</v>
      </c>
      <c r="C18" t="str">
        <f t="shared" si="0"/>
        <v>NO</v>
      </c>
      <c r="D18" t="str">
        <f t="shared" si="0"/>
        <v>NO</v>
      </c>
      <c r="E18" t="str">
        <f t="shared" si="0"/>
        <v>NO</v>
      </c>
      <c r="F18" t="str">
        <f t="shared" si="0"/>
        <v/>
      </c>
      <c r="H18" s="1196" t="str">
        <f t="shared" si="6"/>
        <v/>
      </c>
      <c r="Q18" t="str">
        <f t="shared" si="7"/>
        <v>NO</v>
      </c>
      <c r="R18" t="str">
        <f t="shared" si="1"/>
        <v>NO</v>
      </c>
      <c r="S18" t="str">
        <f t="shared" si="1"/>
        <v>NO</v>
      </c>
      <c r="T18" t="str">
        <f t="shared" si="1"/>
        <v>NO</v>
      </c>
      <c r="U18" t="str">
        <f t="shared" si="1"/>
        <v>NO</v>
      </c>
      <c r="V18" t="str">
        <f t="shared" si="1"/>
        <v/>
      </c>
      <c r="W18" t="str">
        <f t="shared" si="8"/>
        <v/>
      </c>
      <c r="X18" s="1196" t="str">
        <f t="shared" si="9"/>
        <v/>
      </c>
      <c r="AG18" t="str">
        <f t="shared" si="10"/>
        <v>NO</v>
      </c>
      <c r="AH18" t="str">
        <f t="shared" si="3"/>
        <v>NO</v>
      </c>
      <c r="AI18" t="str">
        <f t="shared" si="3"/>
        <v>NO</v>
      </c>
      <c r="AJ18" t="str">
        <f t="shared" si="3"/>
        <v>NO</v>
      </c>
      <c r="AK18" t="str">
        <f t="shared" si="3"/>
        <v>NO</v>
      </c>
      <c r="AL18" t="str">
        <f t="shared" si="3"/>
        <v/>
      </c>
      <c r="AN18" s="1196" t="str">
        <f t="shared" si="11"/>
        <v/>
      </c>
      <c r="BA18" s="1196" t="str">
        <f t="shared" si="12"/>
        <v/>
      </c>
      <c r="BE18" s="1198"/>
      <c r="BF18" s="1198"/>
      <c r="BG18" s="1196" t="e">
        <f t="shared" ca="1" si="13"/>
        <v>#REF!</v>
      </c>
      <c r="BH18" s="1196" t="e">
        <f t="shared" ca="1" si="14"/>
        <v>#REF!</v>
      </c>
      <c r="BI18" s="1196" t="e">
        <f t="shared" ca="1" si="15"/>
        <v>#REF!</v>
      </c>
      <c r="BJ18" s="1196" t="e">
        <f t="shared" ca="1" si="16"/>
        <v>#REF!</v>
      </c>
      <c r="BK18" s="1196" t="e">
        <f t="shared" ca="1" si="17"/>
        <v>#REF!</v>
      </c>
      <c r="BL18" s="1196" t="e">
        <f t="shared" ca="1" si="18"/>
        <v>#REF!</v>
      </c>
    </row>
    <row r="19" spans="1:71" x14ac:dyDescent="0.35">
      <c r="A19" t="str">
        <f t="shared" si="5"/>
        <v>NO</v>
      </c>
      <c r="B19" t="str">
        <f t="shared" si="5"/>
        <v>NO</v>
      </c>
      <c r="C19" t="str">
        <f t="shared" si="5"/>
        <v>NO</v>
      </c>
      <c r="D19" t="str">
        <f t="shared" si="5"/>
        <v>NO</v>
      </c>
      <c r="E19" t="str">
        <f t="shared" si="5"/>
        <v>NO</v>
      </c>
      <c r="F19" t="str">
        <f t="shared" si="5"/>
        <v/>
      </c>
      <c r="H19" s="1196" t="str">
        <f t="shared" si="6"/>
        <v/>
      </c>
      <c r="Q19" t="str">
        <f t="shared" si="7"/>
        <v>NO</v>
      </c>
      <c r="R19" t="str">
        <f t="shared" si="7"/>
        <v>NO</v>
      </c>
      <c r="S19" t="str">
        <f t="shared" si="7"/>
        <v>NO</v>
      </c>
      <c r="T19" t="str">
        <f t="shared" si="7"/>
        <v>NO</v>
      </c>
      <c r="U19" t="str">
        <f t="shared" si="7"/>
        <v>NO</v>
      </c>
      <c r="V19" t="str">
        <f t="shared" si="7"/>
        <v/>
      </c>
      <c r="W19" t="str">
        <f t="shared" si="8"/>
        <v/>
      </c>
      <c r="X19" s="1196" t="str">
        <f t="shared" si="9"/>
        <v/>
      </c>
      <c r="AG19" t="str">
        <f t="shared" si="10"/>
        <v>NO</v>
      </c>
      <c r="AH19" t="str">
        <f t="shared" si="10"/>
        <v>NO</v>
      </c>
      <c r="AI19" t="str">
        <f t="shared" si="10"/>
        <v>NO</v>
      </c>
      <c r="AJ19" t="str">
        <f t="shared" si="10"/>
        <v>NO</v>
      </c>
      <c r="AK19" t="str">
        <f t="shared" si="10"/>
        <v>NO</v>
      </c>
      <c r="AL19" t="str">
        <f t="shared" si="10"/>
        <v/>
      </c>
      <c r="AN19" s="1196" t="str">
        <f t="shared" si="11"/>
        <v/>
      </c>
      <c r="BA19" s="1196" t="str">
        <f t="shared" si="12"/>
        <v/>
      </c>
      <c r="BE19" s="1198"/>
      <c r="BF19" s="1198"/>
      <c r="BG19" s="1196" t="e">
        <f t="shared" ca="1" si="13"/>
        <v>#REF!</v>
      </c>
      <c r="BH19" s="1196" t="e">
        <f t="shared" ca="1" si="14"/>
        <v>#REF!</v>
      </c>
      <c r="BI19" s="1196" t="e">
        <f t="shared" ca="1" si="15"/>
        <v>#REF!</v>
      </c>
      <c r="BJ19" s="1196" t="e">
        <f t="shared" ca="1" si="16"/>
        <v>#REF!</v>
      </c>
      <c r="BK19" s="1196" t="e">
        <f t="shared" ca="1" si="17"/>
        <v>#REF!</v>
      </c>
      <c r="BL19" s="1196" t="e">
        <f t="shared" ca="1" si="18"/>
        <v>#REF!</v>
      </c>
      <c r="BQ19" t="s">
        <v>2312</v>
      </c>
      <c r="BR19" s="264" t="e">
        <f ca="1">+BR17-'3 SAL VNQ'!BA26</f>
        <v>#REF!</v>
      </c>
      <c r="BS19" s="264" t="e">
        <f ca="1">+BS17-'3 SAL VNQ'!BB26</f>
        <v>#REF!</v>
      </c>
    </row>
    <row r="20" spans="1:71" x14ac:dyDescent="0.35">
      <c r="A20" t="str">
        <f t="shared" si="5"/>
        <v>NO</v>
      </c>
      <c r="B20" t="str">
        <f t="shared" si="5"/>
        <v>NO</v>
      </c>
      <c r="C20" t="str">
        <f t="shared" si="5"/>
        <v>NO</v>
      </c>
      <c r="D20" t="str">
        <f t="shared" si="5"/>
        <v>NO</v>
      </c>
      <c r="E20" t="str">
        <f t="shared" si="5"/>
        <v>NO</v>
      </c>
      <c r="F20" t="str">
        <f t="shared" si="5"/>
        <v/>
      </c>
      <c r="H20" s="1196" t="str">
        <f t="shared" si="6"/>
        <v/>
      </c>
      <c r="Q20" t="str">
        <f t="shared" si="7"/>
        <v>NO</v>
      </c>
      <c r="R20" t="str">
        <f t="shared" si="7"/>
        <v>NO</v>
      </c>
      <c r="S20" t="str">
        <f t="shared" si="7"/>
        <v>NO</v>
      </c>
      <c r="T20" t="str">
        <f t="shared" si="7"/>
        <v>NO</v>
      </c>
      <c r="U20" t="str">
        <f t="shared" si="7"/>
        <v>NO</v>
      </c>
      <c r="V20" t="str">
        <f t="shared" si="7"/>
        <v/>
      </c>
      <c r="W20" t="str">
        <f t="shared" si="8"/>
        <v/>
      </c>
      <c r="X20" s="1196" t="str">
        <f t="shared" si="9"/>
        <v/>
      </c>
      <c r="AG20" t="str">
        <f t="shared" si="10"/>
        <v>NO</v>
      </c>
      <c r="AH20" t="str">
        <f t="shared" si="10"/>
        <v>NO</v>
      </c>
      <c r="AI20" t="str">
        <f t="shared" si="10"/>
        <v>NO</v>
      </c>
      <c r="AJ20" t="str">
        <f t="shared" si="10"/>
        <v>NO</v>
      </c>
      <c r="AK20" t="str">
        <f t="shared" si="10"/>
        <v>NO</v>
      </c>
      <c r="AL20" t="str">
        <f t="shared" si="10"/>
        <v/>
      </c>
      <c r="AN20" s="1196" t="str">
        <f t="shared" si="11"/>
        <v/>
      </c>
      <c r="BA20" s="1196" t="str">
        <f t="shared" si="12"/>
        <v/>
      </c>
    </row>
    <row r="21" spans="1:71" x14ac:dyDescent="0.35">
      <c r="A21" t="str">
        <f t="shared" si="5"/>
        <v>NO</v>
      </c>
      <c r="B21" t="str">
        <f t="shared" si="5"/>
        <v>NO</v>
      </c>
      <c r="C21" t="str">
        <f t="shared" si="5"/>
        <v>NO</v>
      </c>
      <c r="D21" t="str">
        <f t="shared" si="5"/>
        <v>NO</v>
      </c>
      <c r="E21" t="str">
        <f t="shared" si="5"/>
        <v>NO</v>
      </c>
      <c r="F21" t="str">
        <f t="shared" si="5"/>
        <v/>
      </c>
      <c r="H21" s="1196" t="str">
        <f t="shared" si="6"/>
        <v/>
      </c>
      <c r="Q21" t="str">
        <f t="shared" si="7"/>
        <v>NO</v>
      </c>
      <c r="R21" t="str">
        <f t="shared" si="7"/>
        <v>NO</v>
      </c>
      <c r="S21" t="str">
        <f t="shared" si="7"/>
        <v>NO</v>
      </c>
      <c r="T21" t="str">
        <f t="shared" si="7"/>
        <v>NO</v>
      </c>
      <c r="U21" t="str">
        <f t="shared" si="7"/>
        <v>NO</v>
      </c>
      <c r="V21" t="str">
        <f t="shared" si="7"/>
        <v/>
      </c>
      <c r="W21" t="str">
        <f t="shared" si="8"/>
        <v/>
      </c>
      <c r="X21" s="1196" t="str">
        <f t="shared" si="9"/>
        <v/>
      </c>
      <c r="AG21" t="str">
        <f t="shared" si="10"/>
        <v>NO</v>
      </c>
      <c r="AH21" t="str">
        <f t="shared" si="10"/>
        <v>NO</v>
      </c>
      <c r="AI21" t="str">
        <f t="shared" si="10"/>
        <v>NO</v>
      </c>
      <c r="AJ21" t="str">
        <f t="shared" si="10"/>
        <v>NO</v>
      </c>
      <c r="AK21" t="str">
        <f t="shared" si="10"/>
        <v>NO</v>
      </c>
      <c r="AL21" t="str">
        <f t="shared" si="10"/>
        <v/>
      </c>
      <c r="AN21" s="1196" t="str">
        <f t="shared" si="11"/>
        <v/>
      </c>
      <c r="BA21" s="1196" t="str">
        <f t="shared" si="12"/>
        <v/>
      </c>
      <c r="BR21" t="s">
        <v>2248</v>
      </c>
      <c r="BS21" t="s">
        <v>2249</v>
      </c>
    </row>
    <row r="22" spans="1:71" x14ac:dyDescent="0.35">
      <c r="A22" t="str">
        <f t="shared" si="5"/>
        <v>NO</v>
      </c>
      <c r="B22" t="str">
        <f t="shared" si="5"/>
        <v>NO</v>
      </c>
      <c r="C22" t="str">
        <f t="shared" si="5"/>
        <v>NO</v>
      </c>
      <c r="D22" t="str">
        <f t="shared" si="5"/>
        <v>NO</v>
      </c>
      <c r="E22" t="str">
        <f t="shared" si="5"/>
        <v>NO</v>
      </c>
      <c r="F22" t="str">
        <f t="shared" si="5"/>
        <v/>
      </c>
      <c r="H22" s="1196" t="str">
        <f t="shared" si="6"/>
        <v/>
      </c>
      <c r="Q22" t="str">
        <f t="shared" si="7"/>
        <v>NO</v>
      </c>
      <c r="R22" t="str">
        <f t="shared" si="7"/>
        <v>NO</v>
      </c>
      <c r="S22" t="str">
        <f t="shared" si="7"/>
        <v>NO</v>
      </c>
      <c r="T22" t="str">
        <f t="shared" si="7"/>
        <v>NO</v>
      </c>
      <c r="U22" t="str">
        <f t="shared" si="7"/>
        <v>NO</v>
      </c>
      <c r="V22" t="str">
        <f t="shared" si="7"/>
        <v/>
      </c>
      <c r="W22" t="str">
        <f t="shared" si="8"/>
        <v/>
      </c>
      <c r="X22" s="1196" t="str">
        <f t="shared" si="9"/>
        <v/>
      </c>
      <c r="AG22" t="str">
        <f t="shared" si="10"/>
        <v>NO</v>
      </c>
      <c r="AH22" t="str">
        <f t="shared" si="10"/>
        <v>NO</v>
      </c>
      <c r="AI22" t="str">
        <f t="shared" si="10"/>
        <v>NO</v>
      </c>
      <c r="AJ22" t="str">
        <f t="shared" si="10"/>
        <v>NO</v>
      </c>
      <c r="AK22" t="str">
        <f t="shared" si="10"/>
        <v>NO</v>
      </c>
      <c r="AL22" t="str">
        <f t="shared" si="10"/>
        <v/>
      </c>
      <c r="AN22" s="1196" t="str">
        <f t="shared" si="11"/>
        <v/>
      </c>
      <c r="BA22" s="1196" t="str">
        <f t="shared" si="12"/>
        <v/>
      </c>
      <c r="BQ22" t="s">
        <v>2313</v>
      </c>
      <c r="BR22" s="264">
        <f ca="1">+IF(Anagrafica!$G$2="Capo II",+'4 SAL'!$H$132,+'4 SAL'!$H$128)</f>
        <v>0</v>
      </c>
      <c r="BS22" s="264">
        <f ca="1">+IF(Anagrafica!$G$2="Capo II",+'4 SAL'!$I$132,+'4 SAL'!$I$128)</f>
        <v>0</v>
      </c>
    </row>
    <row r="23" spans="1:71" x14ac:dyDescent="0.35">
      <c r="A23" t="str">
        <f t="shared" si="5"/>
        <v>NO</v>
      </c>
      <c r="B23" t="str">
        <f t="shared" si="5"/>
        <v>NO</v>
      </c>
      <c r="C23" t="str">
        <f t="shared" si="5"/>
        <v>NO</v>
      </c>
      <c r="D23" t="str">
        <f t="shared" si="5"/>
        <v>NO</v>
      </c>
      <c r="E23" t="str">
        <f t="shared" si="5"/>
        <v>NO</v>
      </c>
      <c r="F23" t="str">
        <f t="shared" si="5"/>
        <v/>
      </c>
      <c r="H23" s="1196" t="str">
        <f t="shared" si="6"/>
        <v/>
      </c>
      <c r="Q23" t="str">
        <f t="shared" si="7"/>
        <v>NO</v>
      </c>
      <c r="R23" t="str">
        <f t="shared" si="7"/>
        <v>NO</v>
      </c>
      <c r="S23" t="str">
        <f t="shared" si="7"/>
        <v>NO</v>
      </c>
      <c r="T23" t="str">
        <f t="shared" si="7"/>
        <v>NO</v>
      </c>
      <c r="U23" t="str">
        <f t="shared" si="7"/>
        <v>NO</v>
      </c>
      <c r="V23" t="str">
        <f t="shared" si="7"/>
        <v/>
      </c>
      <c r="W23" t="str">
        <f t="shared" si="8"/>
        <v/>
      </c>
      <c r="X23" s="1196" t="str">
        <f t="shared" si="9"/>
        <v/>
      </c>
      <c r="AG23" t="str">
        <f t="shared" si="10"/>
        <v>NO</v>
      </c>
      <c r="AH23" t="str">
        <f t="shared" si="10"/>
        <v>NO</v>
      </c>
      <c r="AI23" t="str">
        <f t="shared" si="10"/>
        <v>NO</v>
      </c>
      <c r="AJ23" t="str">
        <f t="shared" si="10"/>
        <v>NO</v>
      </c>
      <c r="AK23" t="str">
        <f t="shared" si="10"/>
        <v>NO</v>
      </c>
      <c r="AL23" t="str">
        <f t="shared" si="10"/>
        <v/>
      </c>
      <c r="AN23" s="1196" t="str">
        <f t="shared" si="11"/>
        <v/>
      </c>
      <c r="BA23" s="1196" t="str">
        <f t="shared" si="12"/>
        <v/>
      </c>
    </row>
    <row r="24" spans="1:71" x14ac:dyDescent="0.35">
      <c r="A24" t="str">
        <f t="shared" si="5"/>
        <v>NO</v>
      </c>
      <c r="B24" t="str">
        <f t="shared" si="5"/>
        <v>NO</v>
      </c>
      <c r="C24" t="str">
        <f t="shared" si="5"/>
        <v>NO</v>
      </c>
      <c r="D24" t="str">
        <f t="shared" si="5"/>
        <v>NO</v>
      </c>
      <c r="E24" t="str">
        <f t="shared" si="5"/>
        <v>NO</v>
      </c>
      <c r="F24" t="str">
        <f t="shared" si="5"/>
        <v/>
      </c>
      <c r="H24" s="1196" t="str">
        <f t="shared" si="6"/>
        <v/>
      </c>
      <c r="Q24" t="str">
        <f t="shared" si="7"/>
        <v>NO</v>
      </c>
      <c r="R24" t="str">
        <f t="shared" si="7"/>
        <v>NO</v>
      </c>
      <c r="S24" t="str">
        <f t="shared" si="7"/>
        <v>NO</v>
      </c>
      <c r="T24" t="str">
        <f t="shared" si="7"/>
        <v>NO</v>
      </c>
      <c r="U24" t="str">
        <f t="shared" si="7"/>
        <v>NO</v>
      </c>
      <c r="V24" t="str">
        <f t="shared" si="7"/>
        <v/>
      </c>
      <c r="W24" t="str">
        <f t="shared" si="8"/>
        <v/>
      </c>
      <c r="X24" s="1196" t="str">
        <f t="shared" si="9"/>
        <v/>
      </c>
      <c r="AG24" t="str">
        <f t="shared" si="10"/>
        <v>NO</v>
      </c>
      <c r="AH24" t="str">
        <f t="shared" si="10"/>
        <v>NO</v>
      </c>
      <c r="AI24" t="str">
        <f t="shared" si="10"/>
        <v>NO</v>
      </c>
      <c r="AJ24" t="str">
        <f t="shared" si="10"/>
        <v>NO</v>
      </c>
      <c r="AK24" t="str">
        <f t="shared" si="10"/>
        <v>NO</v>
      </c>
      <c r="AL24" t="str">
        <f t="shared" si="10"/>
        <v/>
      </c>
      <c r="AN24" s="1196" t="str">
        <f t="shared" si="11"/>
        <v/>
      </c>
      <c r="BA24" s="1196" t="str">
        <f t="shared" si="12"/>
        <v/>
      </c>
      <c r="BQ24" t="s">
        <v>2314</v>
      </c>
      <c r="BR24" s="264" t="e">
        <f ca="1">BR22-((IF(BS19&gt;BS22,(BS19-BS22),0))+BR19)</f>
        <v>#REF!</v>
      </c>
      <c r="BS24" t="e">
        <f ca="1">IF(BS19&gt;BS22,0,BS22-BS19)</f>
        <v>#REF!</v>
      </c>
    </row>
    <row r="25" spans="1:71" x14ac:dyDescent="0.35">
      <c r="A25" t="str">
        <f t="shared" si="5"/>
        <v>NO</v>
      </c>
      <c r="B25" t="str">
        <f t="shared" si="5"/>
        <v>NO</v>
      </c>
      <c r="C25" t="str">
        <f t="shared" si="5"/>
        <v>NO</v>
      </c>
      <c r="D25" t="str">
        <f t="shared" si="5"/>
        <v>NO</v>
      </c>
      <c r="E25" t="str">
        <f t="shared" si="5"/>
        <v>NO</v>
      </c>
      <c r="F25" t="str">
        <f t="shared" si="5"/>
        <v/>
      </c>
      <c r="H25" s="1196" t="str">
        <f t="shared" si="6"/>
        <v/>
      </c>
      <c r="Q25" t="str">
        <f t="shared" si="7"/>
        <v>NO</v>
      </c>
      <c r="R25" t="str">
        <f t="shared" si="7"/>
        <v>NO</v>
      </c>
      <c r="S25" t="str">
        <f t="shared" si="7"/>
        <v>NO</v>
      </c>
      <c r="T25" t="str">
        <f t="shared" si="7"/>
        <v>NO</v>
      </c>
      <c r="U25" t="str">
        <f t="shared" si="7"/>
        <v>NO</v>
      </c>
      <c r="V25" t="str">
        <f t="shared" si="7"/>
        <v/>
      </c>
      <c r="W25" t="str">
        <f t="shared" si="8"/>
        <v/>
      </c>
      <c r="X25" s="1196" t="str">
        <f t="shared" si="9"/>
        <v/>
      </c>
      <c r="AG25" t="str">
        <f t="shared" si="10"/>
        <v>NO</v>
      </c>
      <c r="AH25" t="str">
        <f t="shared" si="10"/>
        <v>NO</v>
      </c>
      <c r="AI25" t="str">
        <f t="shared" si="10"/>
        <v>NO</v>
      </c>
      <c r="AJ25" t="str">
        <f t="shared" si="10"/>
        <v>NO</v>
      </c>
      <c r="AK25" t="str">
        <f t="shared" si="10"/>
        <v>NO</v>
      </c>
      <c r="AL25" t="str">
        <f t="shared" si="10"/>
        <v/>
      </c>
      <c r="AN25" s="1196" t="str">
        <f t="shared" si="11"/>
        <v/>
      </c>
      <c r="BA25" s="1196" t="str">
        <f t="shared" si="12"/>
        <v/>
      </c>
    </row>
    <row r="26" spans="1:71" x14ac:dyDescent="0.35">
      <c r="A26" t="str">
        <f t="shared" si="5"/>
        <v>NO</v>
      </c>
      <c r="B26" t="str">
        <f t="shared" si="5"/>
        <v>NO</v>
      </c>
      <c r="C26" t="str">
        <f t="shared" si="5"/>
        <v>NO</v>
      </c>
      <c r="D26" t="str">
        <f t="shared" si="5"/>
        <v>NO</v>
      </c>
      <c r="E26" t="str">
        <f t="shared" si="5"/>
        <v>NO</v>
      </c>
      <c r="F26" t="str">
        <f t="shared" si="5"/>
        <v/>
      </c>
      <c r="H26" s="1196" t="str">
        <f t="shared" si="6"/>
        <v/>
      </c>
      <c r="Q26" t="str">
        <f t="shared" si="7"/>
        <v>NO</v>
      </c>
      <c r="R26" t="str">
        <f t="shared" si="7"/>
        <v>NO</v>
      </c>
      <c r="S26" t="str">
        <f t="shared" si="7"/>
        <v>NO</v>
      </c>
      <c r="T26" t="str">
        <f t="shared" si="7"/>
        <v>NO</v>
      </c>
      <c r="U26" t="str">
        <f t="shared" si="7"/>
        <v>NO</v>
      </c>
      <c r="V26" t="str">
        <f t="shared" si="7"/>
        <v/>
      </c>
      <c r="W26" t="str">
        <f t="shared" si="8"/>
        <v/>
      </c>
      <c r="X26" s="1196" t="str">
        <f t="shared" si="9"/>
        <v/>
      </c>
      <c r="AG26" t="str">
        <f t="shared" si="10"/>
        <v>NO</v>
      </c>
      <c r="AH26" t="str">
        <f t="shared" si="10"/>
        <v>NO</v>
      </c>
      <c r="AI26" t="str">
        <f t="shared" si="10"/>
        <v>NO</v>
      </c>
      <c r="AJ26" t="str">
        <f t="shared" si="10"/>
        <v>NO</v>
      </c>
      <c r="AK26" t="str">
        <f t="shared" si="10"/>
        <v>NO</v>
      </c>
      <c r="AL26" t="str">
        <f t="shared" si="10"/>
        <v/>
      </c>
      <c r="AN26" s="1196" t="str">
        <f t="shared" si="11"/>
        <v/>
      </c>
      <c r="BA26" s="1196" t="str">
        <f t="shared" si="12"/>
        <v/>
      </c>
      <c r="BQ26" t="s">
        <v>2305</v>
      </c>
      <c r="BR26" s="264">
        <f ca="1">+IF(BR22=0,0,IF(BS22&gt;BS19,0,+BS19-BS22))</f>
        <v>0</v>
      </c>
      <c r="BS26" s="264">
        <f ca="1">-BR26</f>
        <v>0</v>
      </c>
    </row>
    <row r="27" spans="1:71" x14ac:dyDescent="0.35">
      <c r="A27" t="str">
        <f t="shared" si="5"/>
        <v>NO</v>
      </c>
      <c r="B27" t="str">
        <f t="shared" si="5"/>
        <v>NO</v>
      </c>
      <c r="C27" t="str">
        <f t="shared" si="5"/>
        <v>NO</v>
      </c>
      <c r="D27" t="str">
        <f t="shared" si="5"/>
        <v>NO</v>
      </c>
      <c r="E27" t="str">
        <f t="shared" si="5"/>
        <v>NO</v>
      </c>
      <c r="F27" t="str">
        <f t="shared" si="5"/>
        <v/>
      </c>
      <c r="H27" s="1196" t="str">
        <f t="shared" si="6"/>
        <v/>
      </c>
      <c r="Q27" t="str">
        <f t="shared" si="7"/>
        <v>NO</v>
      </c>
      <c r="R27" t="str">
        <f t="shared" si="7"/>
        <v>NO</v>
      </c>
      <c r="S27" t="str">
        <f t="shared" si="7"/>
        <v>NO</v>
      </c>
      <c r="T27" t="str">
        <f t="shared" si="7"/>
        <v>NO</v>
      </c>
      <c r="U27" t="str">
        <f t="shared" si="7"/>
        <v>NO</v>
      </c>
      <c r="V27" t="str">
        <f t="shared" si="7"/>
        <v/>
      </c>
      <c r="W27" t="str">
        <f t="shared" si="8"/>
        <v/>
      </c>
      <c r="X27" s="1196" t="str">
        <f t="shared" si="9"/>
        <v/>
      </c>
      <c r="AG27" t="str">
        <f t="shared" si="10"/>
        <v>NO</v>
      </c>
      <c r="AH27" t="str">
        <f t="shared" si="10"/>
        <v>NO</v>
      </c>
      <c r="AI27" t="str">
        <f t="shared" si="10"/>
        <v>NO</v>
      </c>
      <c r="AJ27" t="str">
        <f t="shared" si="10"/>
        <v>NO</v>
      </c>
      <c r="AK27" t="str">
        <f t="shared" si="10"/>
        <v>NO</v>
      </c>
      <c r="AL27" t="str">
        <f t="shared" si="10"/>
        <v/>
      </c>
      <c r="AN27" s="1196" t="str">
        <f t="shared" si="11"/>
        <v/>
      </c>
      <c r="BA27" s="1196" t="str">
        <f t="shared" si="12"/>
        <v/>
      </c>
    </row>
    <row r="28" spans="1:71" x14ac:dyDescent="0.35">
      <c r="A28" t="str">
        <f t="shared" si="5"/>
        <v>NO</v>
      </c>
      <c r="B28" t="str">
        <f t="shared" si="5"/>
        <v>NO</v>
      </c>
      <c r="C28" t="str">
        <f t="shared" si="5"/>
        <v>NO</v>
      </c>
      <c r="D28" t="str">
        <f t="shared" si="5"/>
        <v>NO</v>
      </c>
      <c r="E28" t="str">
        <f t="shared" si="5"/>
        <v>NO</v>
      </c>
      <c r="F28" t="str">
        <f t="shared" si="5"/>
        <v/>
      </c>
      <c r="H28" s="1196" t="str">
        <f t="shared" si="6"/>
        <v/>
      </c>
      <c r="Q28" t="str">
        <f t="shared" si="7"/>
        <v>NO</v>
      </c>
      <c r="R28" t="str">
        <f t="shared" si="7"/>
        <v>NO</v>
      </c>
      <c r="S28" t="str">
        <f t="shared" si="7"/>
        <v>NO</v>
      </c>
      <c r="T28" t="str">
        <f t="shared" si="7"/>
        <v>NO</v>
      </c>
      <c r="U28" t="str">
        <f t="shared" si="7"/>
        <v>NO</v>
      </c>
      <c r="V28" t="str">
        <f t="shared" si="7"/>
        <v/>
      </c>
      <c r="W28" t="str">
        <f t="shared" si="8"/>
        <v/>
      </c>
      <c r="X28" s="1196" t="str">
        <f t="shared" si="9"/>
        <v/>
      </c>
      <c r="AG28" t="str">
        <f t="shared" si="10"/>
        <v>NO</v>
      </c>
      <c r="AH28" t="str">
        <f t="shared" si="10"/>
        <v>NO</v>
      </c>
      <c r="AI28" t="str">
        <f t="shared" si="10"/>
        <v>NO</v>
      </c>
      <c r="AJ28" t="str">
        <f t="shared" si="10"/>
        <v>NO</v>
      </c>
      <c r="AK28" t="str">
        <f t="shared" si="10"/>
        <v>NO</v>
      </c>
      <c r="AL28" t="str">
        <f t="shared" si="10"/>
        <v/>
      </c>
      <c r="AN28" s="1196" t="str">
        <f t="shared" si="11"/>
        <v/>
      </c>
      <c r="BA28" s="1196" t="str">
        <f t="shared" si="12"/>
        <v/>
      </c>
    </row>
    <row r="29" spans="1:71" x14ac:dyDescent="0.35">
      <c r="A29" t="str">
        <f t="shared" si="5"/>
        <v>NO</v>
      </c>
      <c r="B29" t="str">
        <f t="shared" si="5"/>
        <v>NO</v>
      </c>
      <c r="C29" t="str">
        <f t="shared" si="5"/>
        <v>NO</v>
      </c>
      <c r="D29" t="str">
        <f t="shared" si="5"/>
        <v>NO</v>
      </c>
      <c r="E29" t="str">
        <f t="shared" si="5"/>
        <v>NO</v>
      </c>
      <c r="F29" t="str">
        <f t="shared" si="5"/>
        <v/>
      </c>
      <c r="H29" s="1196" t="str">
        <f t="shared" si="6"/>
        <v/>
      </c>
      <c r="Q29" t="str">
        <f t="shared" si="7"/>
        <v>NO</v>
      </c>
      <c r="R29" t="str">
        <f t="shared" si="7"/>
        <v>NO</v>
      </c>
      <c r="S29" t="str">
        <f t="shared" si="7"/>
        <v>NO</v>
      </c>
      <c r="T29" t="str">
        <f t="shared" si="7"/>
        <v>NO</v>
      </c>
      <c r="U29" t="str">
        <f t="shared" si="7"/>
        <v>NO</v>
      </c>
      <c r="V29" t="str">
        <f t="shared" si="7"/>
        <v/>
      </c>
      <c r="W29" t="str">
        <f t="shared" si="8"/>
        <v/>
      </c>
      <c r="X29" s="1196" t="str">
        <f t="shared" si="9"/>
        <v/>
      </c>
      <c r="AG29" t="str">
        <f t="shared" si="10"/>
        <v>NO</v>
      </c>
      <c r="AH29" t="str">
        <f t="shared" si="10"/>
        <v>NO</v>
      </c>
      <c r="AI29" t="str">
        <f t="shared" si="10"/>
        <v>NO</v>
      </c>
      <c r="AJ29" t="str">
        <f t="shared" si="10"/>
        <v>NO</v>
      </c>
      <c r="AK29" t="str">
        <f t="shared" si="10"/>
        <v>NO</v>
      </c>
      <c r="AL29" t="str">
        <f t="shared" si="10"/>
        <v/>
      </c>
      <c r="AN29" s="1196" t="str">
        <f t="shared" si="11"/>
        <v/>
      </c>
      <c r="BA29" s="1196" t="str">
        <f t="shared" si="12"/>
        <v/>
      </c>
    </row>
    <row r="30" spans="1:71" x14ac:dyDescent="0.35">
      <c r="A30" t="str">
        <f t="shared" si="5"/>
        <v>NO</v>
      </c>
      <c r="B30" t="str">
        <f t="shared" si="5"/>
        <v>NO</v>
      </c>
      <c r="C30" t="str">
        <f t="shared" si="5"/>
        <v>NO</v>
      </c>
      <c r="D30" t="str">
        <f t="shared" si="5"/>
        <v>NO</v>
      </c>
      <c r="E30" t="str">
        <f t="shared" si="5"/>
        <v>NO</v>
      </c>
      <c r="F30" t="str">
        <f t="shared" si="5"/>
        <v/>
      </c>
      <c r="H30" s="1196" t="str">
        <f t="shared" si="6"/>
        <v/>
      </c>
      <c r="Q30" t="str">
        <f t="shared" si="7"/>
        <v>NO</v>
      </c>
      <c r="R30" t="str">
        <f t="shared" si="7"/>
        <v>NO</v>
      </c>
      <c r="S30" t="str">
        <f t="shared" si="7"/>
        <v>NO</v>
      </c>
      <c r="T30" t="str">
        <f t="shared" si="7"/>
        <v>NO</v>
      </c>
      <c r="U30" t="str">
        <f t="shared" si="7"/>
        <v>NO</v>
      </c>
      <c r="V30" t="str">
        <f t="shared" si="7"/>
        <v/>
      </c>
      <c r="W30" t="str">
        <f t="shared" si="8"/>
        <v/>
      </c>
      <c r="X30" s="1196" t="str">
        <f t="shared" si="9"/>
        <v/>
      </c>
      <c r="AG30" t="str">
        <f t="shared" si="10"/>
        <v>NO</v>
      </c>
      <c r="AH30" t="str">
        <f t="shared" si="10"/>
        <v>NO</v>
      </c>
      <c r="AI30" t="str">
        <f t="shared" si="10"/>
        <v>NO</v>
      </c>
      <c r="AJ30" t="str">
        <f t="shared" si="10"/>
        <v>NO</v>
      </c>
      <c r="AK30" t="str">
        <f t="shared" si="10"/>
        <v>NO</v>
      </c>
      <c r="AL30" t="str">
        <f t="shared" si="10"/>
        <v/>
      </c>
      <c r="AN30" s="1196" t="str">
        <f t="shared" si="11"/>
        <v/>
      </c>
      <c r="BA30" s="1196" t="str">
        <f t="shared" si="12"/>
        <v/>
      </c>
    </row>
    <row r="31" spans="1:71" x14ac:dyDescent="0.35">
      <c r="A31" t="str">
        <f t="shared" si="5"/>
        <v>NO</v>
      </c>
      <c r="B31" t="str">
        <f t="shared" si="5"/>
        <v>NO</v>
      </c>
      <c r="C31" t="str">
        <f t="shared" si="5"/>
        <v>NO</v>
      </c>
      <c r="D31" t="str">
        <f t="shared" si="5"/>
        <v>NO</v>
      </c>
      <c r="E31" t="str">
        <f t="shared" si="5"/>
        <v>NO</v>
      </c>
      <c r="F31" t="str">
        <f t="shared" si="5"/>
        <v/>
      </c>
      <c r="H31" s="1196" t="str">
        <f t="shared" si="6"/>
        <v/>
      </c>
      <c r="Q31" t="str">
        <f t="shared" si="7"/>
        <v>NO</v>
      </c>
      <c r="R31" t="str">
        <f t="shared" si="7"/>
        <v>NO</v>
      </c>
      <c r="S31" t="str">
        <f t="shared" si="7"/>
        <v>NO</v>
      </c>
      <c r="T31" t="str">
        <f t="shared" si="7"/>
        <v>NO</v>
      </c>
      <c r="U31" t="str">
        <f t="shared" si="7"/>
        <v>NO</v>
      </c>
      <c r="V31" t="str">
        <f t="shared" si="7"/>
        <v/>
      </c>
      <c r="W31" t="str">
        <f t="shared" si="8"/>
        <v/>
      </c>
      <c r="X31" s="1196" t="str">
        <f t="shared" si="9"/>
        <v/>
      </c>
      <c r="AG31" t="str">
        <f t="shared" si="10"/>
        <v>NO</v>
      </c>
      <c r="AH31" t="str">
        <f t="shared" si="10"/>
        <v>NO</v>
      </c>
      <c r="AI31" t="str">
        <f t="shared" si="10"/>
        <v>NO</v>
      </c>
      <c r="AJ31" t="str">
        <f t="shared" si="10"/>
        <v>NO</v>
      </c>
      <c r="AK31" t="str">
        <f t="shared" si="10"/>
        <v>NO</v>
      </c>
      <c r="AL31" t="str">
        <f t="shared" si="10"/>
        <v/>
      </c>
      <c r="AN31" s="1196" t="str">
        <f t="shared" si="11"/>
        <v/>
      </c>
      <c r="BA31" s="1196" t="str">
        <f t="shared" si="12"/>
        <v/>
      </c>
    </row>
    <row r="32" spans="1:71" x14ac:dyDescent="0.35">
      <c r="A32" t="str">
        <f t="shared" si="5"/>
        <v>NO</v>
      </c>
      <c r="B32" t="str">
        <f t="shared" si="5"/>
        <v>NO</v>
      </c>
      <c r="C32" t="str">
        <f t="shared" si="5"/>
        <v>NO</v>
      </c>
      <c r="D32" t="str">
        <f t="shared" si="5"/>
        <v>NO</v>
      </c>
      <c r="E32" t="str">
        <f t="shared" si="5"/>
        <v>NO</v>
      </c>
      <c r="F32" t="str">
        <f t="shared" si="5"/>
        <v/>
      </c>
      <c r="H32" s="1196" t="str">
        <f t="shared" si="6"/>
        <v/>
      </c>
      <c r="Q32" t="str">
        <f t="shared" si="7"/>
        <v>NO</v>
      </c>
      <c r="R32" t="str">
        <f t="shared" si="7"/>
        <v>NO</v>
      </c>
      <c r="S32" t="str">
        <f t="shared" si="7"/>
        <v>NO</v>
      </c>
      <c r="T32" t="str">
        <f t="shared" si="7"/>
        <v>NO</v>
      </c>
      <c r="U32" t="str">
        <f t="shared" si="7"/>
        <v>NO</v>
      </c>
      <c r="V32" t="str">
        <f t="shared" si="7"/>
        <v/>
      </c>
      <c r="W32" t="str">
        <f t="shared" si="8"/>
        <v/>
      </c>
      <c r="X32" s="1196" t="str">
        <f t="shared" si="9"/>
        <v/>
      </c>
      <c r="AG32" t="str">
        <f t="shared" si="10"/>
        <v>NO</v>
      </c>
      <c r="AH32" t="str">
        <f t="shared" si="10"/>
        <v>NO</v>
      </c>
      <c r="AI32" t="str">
        <f t="shared" si="10"/>
        <v>NO</v>
      </c>
      <c r="AJ32" t="str">
        <f t="shared" si="10"/>
        <v>NO</v>
      </c>
      <c r="AK32" t="str">
        <f t="shared" si="10"/>
        <v>NO</v>
      </c>
      <c r="AL32" t="str">
        <f t="shared" si="10"/>
        <v/>
      </c>
      <c r="AN32" s="1196" t="str">
        <f t="shared" si="11"/>
        <v/>
      </c>
      <c r="BA32" s="1196" t="str">
        <f t="shared" si="12"/>
        <v/>
      </c>
    </row>
    <row r="33" spans="1:53" x14ac:dyDescent="0.35">
      <c r="A33" t="str">
        <f t="shared" si="5"/>
        <v>NO</v>
      </c>
      <c r="B33" t="str">
        <f t="shared" si="5"/>
        <v>NO</v>
      </c>
      <c r="C33" t="str">
        <f t="shared" si="5"/>
        <v>NO</v>
      </c>
      <c r="D33" t="str">
        <f t="shared" si="5"/>
        <v>NO</v>
      </c>
      <c r="E33" t="str">
        <f t="shared" si="5"/>
        <v>NO</v>
      </c>
      <c r="F33" t="str">
        <f t="shared" si="5"/>
        <v/>
      </c>
      <c r="H33" s="1196" t="str">
        <f t="shared" si="6"/>
        <v/>
      </c>
      <c r="Q33" t="str">
        <f t="shared" si="7"/>
        <v>NO</v>
      </c>
      <c r="R33" t="str">
        <f t="shared" si="7"/>
        <v>NO</v>
      </c>
      <c r="S33" t="str">
        <f t="shared" si="7"/>
        <v>NO</v>
      </c>
      <c r="T33" t="str">
        <f t="shared" si="7"/>
        <v>NO</v>
      </c>
      <c r="U33" t="str">
        <f t="shared" si="7"/>
        <v>NO</v>
      </c>
      <c r="V33" t="str">
        <f t="shared" si="7"/>
        <v/>
      </c>
      <c r="W33" t="str">
        <f t="shared" si="8"/>
        <v/>
      </c>
      <c r="X33" s="1196" t="str">
        <f t="shared" si="9"/>
        <v/>
      </c>
      <c r="AG33" t="str">
        <f t="shared" si="10"/>
        <v>NO</v>
      </c>
      <c r="AH33" t="str">
        <f t="shared" si="10"/>
        <v>NO</v>
      </c>
      <c r="AI33" t="str">
        <f t="shared" si="10"/>
        <v>NO</v>
      </c>
      <c r="AJ33" t="str">
        <f t="shared" si="10"/>
        <v>NO</v>
      </c>
      <c r="AK33" t="str">
        <f t="shared" si="10"/>
        <v>NO</v>
      </c>
      <c r="AL33" t="str">
        <f t="shared" si="10"/>
        <v/>
      </c>
      <c r="AN33" s="1196" t="str">
        <f t="shared" si="11"/>
        <v/>
      </c>
      <c r="BA33" s="1196" t="str">
        <f t="shared" si="12"/>
        <v/>
      </c>
    </row>
    <row r="34" spans="1:53" x14ac:dyDescent="0.35">
      <c r="A34" t="str">
        <f t="shared" si="5"/>
        <v>NO</v>
      </c>
      <c r="B34" t="str">
        <f t="shared" si="5"/>
        <v>NO</v>
      </c>
      <c r="C34" t="str">
        <f t="shared" si="5"/>
        <v>NO</v>
      </c>
      <c r="D34" t="str">
        <f t="shared" si="5"/>
        <v>NO</v>
      </c>
      <c r="E34" t="str">
        <f t="shared" si="5"/>
        <v>NO</v>
      </c>
      <c r="F34" t="str">
        <f t="shared" si="5"/>
        <v/>
      </c>
      <c r="H34" s="1196" t="str">
        <f t="shared" si="6"/>
        <v/>
      </c>
      <c r="Q34" t="str">
        <f t="shared" si="7"/>
        <v>NO</v>
      </c>
      <c r="R34" t="str">
        <f t="shared" si="7"/>
        <v>NO</v>
      </c>
      <c r="S34" t="str">
        <f t="shared" si="7"/>
        <v>NO</v>
      </c>
      <c r="T34" t="str">
        <f t="shared" si="7"/>
        <v>NO</v>
      </c>
      <c r="U34" t="str">
        <f t="shared" si="7"/>
        <v>NO</v>
      </c>
      <c r="V34" t="str">
        <f t="shared" si="7"/>
        <v/>
      </c>
      <c r="W34" t="str">
        <f t="shared" si="8"/>
        <v/>
      </c>
      <c r="X34" s="1196" t="str">
        <f t="shared" si="9"/>
        <v/>
      </c>
      <c r="AG34" t="str">
        <f t="shared" si="10"/>
        <v>NO</v>
      </c>
      <c r="AH34" t="str">
        <f t="shared" si="10"/>
        <v>NO</v>
      </c>
      <c r="AI34" t="str">
        <f t="shared" si="10"/>
        <v>NO</v>
      </c>
      <c r="AJ34" t="str">
        <f t="shared" si="10"/>
        <v>NO</v>
      </c>
      <c r="AK34" t="str">
        <f t="shared" si="10"/>
        <v>NO</v>
      </c>
      <c r="AL34" t="str">
        <f t="shared" si="10"/>
        <v/>
      </c>
      <c r="AN34" s="1196" t="str">
        <f t="shared" si="11"/>
        <v/>
      </c>
      <c r="BA34" s="1196" t="str">
        <f t="shared" si="12"/>
        <v/>
      </c>
    </row>
    <row r="35" spans="1:53" x14ac:dyDescent="0.35">
      <c r="A35" t="str">
        <f t="shared" si="5"/>
        <v>NO</v>
      </c>
      <c r="B35" t="str">
        <f t="shared" si="5"/>
        <v>NO</v>
      </c>
      <c r="C35" t="str">
        <f t="shared" si="5"/>
        <v>NO</v>
      </c>
      <c r="D35" t="str">
        <f t="shared" si="5"/>
        <v>NO</v>
      </c>
      <c r="E35" t="str">
        <f t="shared" si="5"/>
        <v>NO</v>
      </c>
      <c r="F35" t="str">
        <f t="shared" si="5"/>
        <v/>
      </c>
      <c r="H35" s="1196" t="str">
        <f t="shared" si="6"/>
        <v/>
      </c>
      <c r="Q35" t="str">
        <f t="shared" si="7"/>
        <v>NO</v>
      </c>
      <c r="R35" t="str">
        <f t="shared" si="7"/>
        <v>NO</v>
      </c>
      <c r="S35" t="str">
        <f t="shared" si="7"/>
        <v>NO</v>
      </c>
      <c r="T35" t="str">
        <f t="shared" si="7"/>
        <v>NO</v>
      </c>
      <c r="U35" t="str">
        <f t="shared" si="7"/>
        <v>NO</v>
      </c>
      <c r="V35" t="str">
        <f t="shared" si="7"/>
        <v/>
      </c>
      <c r="W35" t="str">
        <f t="shared" si="8"/>
        <v/>
      </c>
      <c r="X35" s="1196" t="str">
        <f t="shared" si="9"/>
        <v/>
      </c>
      <c r="AG35" t="str">
        <f t="shared" si="10"/>
        <v>NO</v>
      </c>
      <c r="AH35" t="str">
        <f t="shared" si="10"/>
        <v>NO</v>
      </c>
      <c r="AI35" t="str">
        <f t="shared" si="10"/>
        <v>NO</v>
      </c>
      <c r="AJ35" t="str">
        <f t="shared" si="10"/>
        <v>NO</v>
      </c>
      <c r="AK35" t="str">
        <f t="shared" si="10"/>
        <v>NO</v>
      </c>
      <c r="AL35" t="str">
        <f t="shared" si="10"/>
        <v/>
      </c>
      <c r="AN35" s="1196" t="str">
        <f t="shared" si="11"/>
        <v/>
      </c>
      <c r="BA35" s="1196" t="str">
        <f t="shared" si="12"/>
        <v/>
      </c>
    </row>
    <row r="36" spans="1:53" x14ac:dyDescent="0.35">
      <c r="A36" t="str">
        <f t="shared" si="5"/>
        <v>NO</v>
      </c>
      <c r="B36" t="str">
        <f t="shared" si="5"/>
        <v>NO</v>
      </c>
      <c r="C36" t="str">
        <f t="shared" si="5"/>
        <v>NO</v>
      </c>
      <c r="D36" t="str">
        <f t="shared" si="5"/>
        <v>NO</v>
      </c>
      <c r="E36" t="str">
        <f t="shared" si="5"/>
        <v>NO</v>
      </c>
      <c r="F36" t="str">
        <f t="shared" si="5"/>
        <v/>
      </c>
      <c r="H36" s="1196" t="str">
        <f t="shared" si="6"/>
        <v/>
      </c>
      <c r="Q36" t="str">
        <f t="shared" si="7"/>
        <v>NO</v>
      </c>
      <c r="R36" t="str">
        <f t="shared" si="7"/>
        <v>NO</v>
      </c>
      <c r="S36" t="str">
        <f t="shared" si="7"/>
        <v>NO</v>
      </c>
      <c r="T36" t="str">
        <f t="shared" si="7"/>
        <v>NO</v>
      </c>
      <c r="U36" t="str">
        <f t="shared" si="7"/>
        <v>NO</v>
      </c>
      <c r="V36" t="str">
        <f t="shared" si="7"/>
        <v/>
      </c>
      <c r="W36" t="str">
        <f t="shared" si="8"/>
        <v/>
      </c>
      <c r="X36" s="1196" t="str">
        <f t="shared" si="9"/>
        <v/>
      </c>
      <c r="AG36" t="str">
        <f t="shared" si="10"/>
        <v>NO</v>
      </c>
      <c r="AH36" t="str">
        <f t="shared" si="10"/>
        <v>NO</v>
      </c>
      <c r="AI36" t="str">
        <f t="shared" si="10"/>
        <v>NO</v>
      </c>
      <c r="AJ36" t="str">
        <f t="shared" si="10"/>
        <v>NO</v>
      </c>
      <c r="AK36" t="str">
        <f t="shared" si="10"/>
        <v>NO</v>
      </c>
      <c r="AL36" t="str">
        <f t="shared" si="10"/>
        <v/>
      </c>
      <c r="AN36" s="1196" t="str">
        <f t="shared" si="11"/>
        <v/>
      </c>
      <c r="BA36" s="1196" t="str">
        <f t="shared" si="12"/>
        <v/>
      </c>
    </row>
    <row r="37" spans="1:53" x14ac:dyDescent="0.35">
      <c r="A37" t="str">
        <f t="shared" si="5"/>
        <v>NO</v>
      </c>
      <c r="B37" t="str">
        <f t="shared" si="5"/>
        <v>NO</v>
      </c>
      <c r="C37" t="str">
        <f t="shared" si="5"/>
        <v>NO</v>
      </c>
      <c r="D37" t="str">
        <f t="shared" si="5"/>
        <v>NO</v>
      </c>
      <c r="E37" t="str">
        <f t="shared" si="5"/>
        <v>NO</v>
      </c>
      <c r="F37" t="str">
        <f t="shared" si="5"/>
        <v/>
      </c>
      <c r="H37" s="1196" t="str">
        <f t="shared" si="6"/>
        <v/>
      </c>
      <c r="Q37" t="str">
        <f t="shared" si="7"/>
        <v>NO</v>
      </c>
      <c r="R37" t="str">
        <f t="shared" si="7"/>
        <v>NO</v>
      </c>
      <c r="S37" t="str">
        <f t="shared" si="7"/>
        <v>NO</v>
      </c>
      <c r="T37" t="str">
        <f t="shared" si="7"/>
        <v>NO</v>
      </c>
      <c r="U37" t="str">
        <f t="shared" si="7"/>
        <v>NO</v>
      </c>
      <c r="V37" t="str">
        <f t="shared" si="7"/>
        <v/>
      </c>
      <c r="W37" t="str">
        <f t="shared" si="8"/>
        <v/>
      </c>
      <c r="X37" s="1196" t="str">
        <f t="shared" si="9"/>
        <v/>
      </c>
      <c r="AG37" t="str">
        <f t="shared" si="10"/>
        <v>NO</v>
      </c>
      <c r="AH37" t="str">
        <f t="shared" si="10"/>
        <v>NO</v>
      </c>
      <c r="AI37" t="str">
        <f t="shared" si="10"/>
        <v>NO</v>
      </c>
      <c r="AJ37" t="str">
        <f t="shared" si="10"/>
        <v>NO</v>
      </c>
      <c r="AK37" t="str">
        <f t="shared" si="10"/>
        <v>NO</v>
      </c>
      <c r="AL37" t="str">
        <f t="shared" si="10"/>
        <v/>
      </c>
      <c r="AN37" s="1196" t="str">
        <f t="shared" si="11"/>
        <v/>
      </c>
      <c r="BA37" s="1196" t="str">
        <f t="shared" si="12"/>
        <v/>
      </c>
    </row>
    <row r="38" spans="1:53" x14ac:dyDescent="0.35">
      <c r="A38" t="str">
        <f t="shared" si="5"/>
        <v>NO</v>
      </c>
      <c r="B38" t="str">
        <f t="shared" si="5"/>
        <v>NO</v>
      </c>
      <c r="C38" t="str">
        <f t="shared" si="5"/>
        <v>NO</v>
      </c>
      <c r="D38" t="str">
        <f t="shared" si="5"/>
        <v>NO</v>
      </c>
      <c r="E38" t="str">
        <f t="shared" si="5"/>
        <v>NO</v>
      </c>
      <c r="F38" t="str">
        <f t="shared" si="5"/>
        <v/>
      </c>
      <c r="H38" s="1196" t="str">
        <f t="shared" si="6"/>
        <v/>
      </c>
      <c r="Q38" t="str">
        <f t="shared" si="7"/>
        <v>NO</v>
      </c>
      <c r="R38" t="str">
        <f t="shared" si="7"/>
        <v>NO</v>
      </c>
      <c r="S38" t="str">
        <f t="shared" si="7"/>
        <v>NO</v>
      </c>
      <c r="T38" t="str">
        <f t="shared" si="7"/>
        <v>NO</v>
      </c>
      <c r="U38" t="str">
        <f t="shared" si="7"/>
        <v>NO</v>
      </c>
      <c r="V38" t="str">
        <f t="shared" si="7"/>
        <v/>
      </c>
      <c r="W38" t="str">
        <f t="shared" si="8"/>
        <v/>
      </c>
      <c r="X38" s="1196" t="str">
        <f t="shared" si="9"/>
        <v/>
      </c>
      <c r="AG38" t="str">
        <f t="shared" si="10"/>
        <v>NO</v>
      </c>
      <c r="AH38" t="str">
        <f t="shared" si="10"/>
        <v>NO</v>
      </c>
      <c r="AI38" t="str">
        <f t="shared" si="10"/>
        <v>NO</v>
      </c>
      <c r="AJ38" t="str">
        <f t="shared" si="10"/>
        <v>NO</v>
      </c>
      <c r="AK38" t="str">
        <f t="shared" si="10"/>
        <v>NO</v>
      </c>
      <c r="AL38" t="str">
        <f t="shared" si="10"/>
        <v/>
      </c>
      <c r="AN38" s="1196" t="str">
        <f t="shared" si="11"/>
        <v/>
      </c>
      <c r="BA38" s="1196" t="str">
        <f t="shared" si="12"/>
        <v/>
      </c>
    </row>
    <row r="39" spans="1:53" x14ac:dyDescent="0.35">
      <c r="A39" t="str">
        <f t="shared" si="5"/>
        <v>NO</v>
      </c>
      <c r="B39" t="str">
        <f t="shared" si="5"/>
        <v>NO</v>
      </c>
      <c r="C39" t="str">
        <f t="shared" si="5"/>
        <v>NO</v>
      </c>
      <c r="D39" t="str">
        <f t="shared" si="5"/>
        <v>NO</v>
      </c>
      <c r="E39" t="str">
        <f t="shared" si="5"/>
        <v>NO</v>
      </c>
      <c r="F39" t="str">
        <f t="shared" si="5"/>
        <v/>
      </c>
      <c r="H39" s="1196" t="str">
        <f t="shared" si="6"/>
        <v/>
      </c>
      <c r="Q39" t="str">
        <f t="shared" si="7"/>
        <v>NO</v>
      </c>
      <c r="R39" t="str">
        <f t="shared" si="7"/>
        <v>NO</v>
      </c>
      <c r="S39" t="str">
        <f t="shared" si="7"/>
        <v>NO</v>
      </c>
      <c r="T39" t="str">
        <f t="shared" si="7"/>
        <v>NO</v>
      </c>
      <c r="U39" t="str">
        <f t="shared" si="7"/>
        <v>NO</v>
      </c>
      <c r="V39" t="str">
        <f t="shared" si="7"/>
        <v/>
      </c>
      <c r="W39" t="str">
        <f t="shared" si="8"/>
        <v/>
      </c>
      <c r="X39" s="1196" t="str">
        <f t="shared" si="9"/>
        <v/>
      </c>
      <c r="AG39" t="str">
        <f t="shared" si="10"/>
        <v>NO</v>
      </c>
      <c r="AH39" t="str">
        <f t="shared" si="10"/>
        <v>NO</v>
      </c>
      <c r="AI39" t="str">
        <f t="shared" si="10"/>
        <v>NO</v>
      </c>
      <c r="AJ39" t="str">
        <f t="shared" si="10"/>
        <v>NO</v>
      </c>
      <c r="AK39" t="str">
        <f t="shared" si="10"/>
        <v>NO</v>
      </c>
      <c r="AL39" t="str">
        <f t="shared" si="10"/>
        <v/>
      </c>
      <c r="AN39" s="1196" t="str">
        <f t="shared" si="11"/>
        <v/>
      </c>
      <c r="BA39" s="1196" t="str">
        <f t="shared" si="12"/>
        <v/>
      </c>
    </row>
    <row r="40" spans="1:53" x14ac:dyDescent="0.35">
      <c r="A40" t="str">
        <f t="shared" si="5"/>
        <v>NO</v>
      </c>
      <c r="B40" t="str">
        <f t="shared" si="5"/>
        <v>NO</v>
      </c>
      <c r="C40" t="str">
        <f t="shared" si="5"/>
        <v>NO</v>
      </c>
      <c r="D40" t="str">
        <f t="shared" si="5"/>
        <v>NO</v>
      </c>
      <c r="E40" t="str">
        <f t="shared" si="5"/>
        <v>NO</v>
      </c>
      <c r="F40" t="str">
        <f t="shared" si="5"/>
        <v/>
      </c>
      <c r="H40" s="1196" t="str">
        <f t="shared" si="6"/>
        <v/>
      </c>
      <c r="Q40" t="str">
        <f t="shared" si="7"/>
        <v>NO</v>
      </c>
      <c r="R40" t="str">
        <f t="shared" si="7"/>
        <v>NO</v>
      </c>
      <c r="S40" t="str">
        <f t="shared" si="7"/>
        <v>NO</v>
      </c>
      <c r="T40" t="str">
        <f t="shared" si="7"/>
        <v>NO</v>
      </c>
      <c r="U40" t="str">
        <f t="shared" si="7"/>
        <v>NO</v>
      </c>
      <c r="V40" t="str">
        <f t="shared" si="7"/>
        <v/>
      </c>
      <c r="W40" t="str">
        <f t="shared" si="8"/>
        <v/>
      </c>
      <c r="X40" s="1196" t="str">
        <f t="shared" si="9"/>
        <v/>
      </c>
      <c r="AG40" t="str">
        <f t="shared" si="10"/>
        <v>NO</v>
      </c>
      <c r="AH40" t="str">
        <f t="shared" si="10"/>
        <v>NO</v>
      </c>
      <c r="AI40" t="str">
        <f t="shared" si="10"/>
        <v>NO</v>
      </c>
      <c r="AJ40" t="str">
        <f t="shared" si="10"/>
        <v>NO</v>
      </c>
      <c r="AK40" t="str">
        <f t="shared" si="10"/>
        <v>NO</v>
      </c>
      <c r="AL40" t="str">
        <f t="shared" si="10"/>
        <v/>
      </c>
      <c r="AN40" s="1196" t="str">
        <f t="shared" si="11"/>
        <v/>
      </c>
      <c r="BA40" s="1196" t="str">
        <f t="shared" si="12"/>
        <v/>
      </c>
    </row>
    <row r="41" spans="1:53" x14ac:dyDescent="0.35">
      <c r="A41" t="str">
        <f t="shared" si="5"/>
        <v>NO</v>
      </c>
      <c r="B41" t="str">
        <f t="shared" si="5"/>
        <v>NO</v>
      </c>
      <c r="C41" t="str">
        <f t="shared" si="5"/>
        <v>NO</v>
      </c>
      <c r="D41" t="str">
        <f t="shared" si="5"/>
        <v>NO</v>
      </c>
      <c r="E41" t="str">
        <f t="shared" si="5"/>
        <v>NO</v>
      </c>
      <c r="F41" t="str">
        <f t="shared" si="5"/>
        <v/>
      </c>
      <c r="H41" s="1196" t="str">
        <f t="shared" si="6"/>
        <v/>
      </c>
      <c r="Q41" t="str">
        <f t="shared" si="7"/>
        <v>NO</v>
      </c>
      <c r="R41" t="str">
        <f t="shared" si="7"/>
        <v>NO</v>
      </c>
      <c r="S41" t="str">
        <f t="shared" si="7"/>
        <v>NO</v>
      </c>
      <c r="T41" t="str">
        <f t="shared" si="7"/>
        <v>NO</v>
      </c>
      <c r="U41" t="str">
        <f t="shared" si="7"/>
        <v>NO</v>
      </c>
      <c r="V41" t="str">
        <f t="shared" si="7"/>
        <v/>
      </c>
      <c r="W41" t="str">
        <f t="shared" si="8"/>
        <v/>
      </c>
      <c r="X41" s="1196" t="str">
        <f t="shared" si="9"/>
        <v/>
      </c>
      <c r="AG41" t="str">
        <f t="shared" si="10"/>
        <v>NO</v>
      </c>
      <c r="AH41" t="str">
        <f t="shared" si="10"/>
        <v>NO</v>
      </c>
      <c r="AI41" t="str">
        <f t="shared" si="10"/>
        <v>NO</v>
      </c>
      <c r="AJ41" t="str">
        <f t="shared" si="10"/>
        <v>NO</v>
      </c>
      <c r="AK41" t="str">
        <f t="shared" si="10"/>
        <v>NO</v>
      </c>
      <c r="AL41" t="str">
        <f t="shared" si="10"/>
        <v/>
      </c>
      <c r="AN41" s="1196" t="str">
        <f t="shared" si="11"/>
        <v/>
      </c>
      <c r="BA41" s="1196" t="str">
        <f t="shared" si="12"/>
        <v/>
      </c>
    </row>
    <row r="42" spans="1:53" x14ac:dyDescent="0.35">
      <c r="A42" t="str">
        <f t="shared" si="5"/>
        <v>NO</v>
      </c>
      <c r="B42" t="str">
        <f t="shared" si="5"/>
        <v>NO</v>
      </c>
      <c r="C42" t="str">
        <f t="shared" si="5"/>
        <v>NO</v>
      </c>
      <c r="D42" t="str">
        <f t="shared" si="5"/>
        <v>NO</v>
      </c>
      <c r="E42" t="str">
        <f t="shared" si="5"/>
        <v>NO</v>
      </c>
      <c r="F42" t="str">
        <f t="shared" si="5"/>
        <v/>
      </c>
      <c r="H42" s="1196" t="str">
        <f t="shared" si="6"/>
        <v/>
      </c>
      <c r="Q42" t="str">
        <f t="shared" si="7"/>
        <v>NO</v>
      </c>
      <c r="R42" t="str">
        <f t="shared" si="7"/>
        <v>NO</v>
      </c>
      <c r="S42" t="str">
        <f t="shared" si="7"/>
        <v>NO</v>
      </c>
      <c r="T42" t="str">
        <f t="shared" si="7"/>
        <v>NO</v>
      </c>
      <c r="U42" t="str">
        <f t="shared" si="7"/>
        <v>NO</v>
      </c>
      <c r="V42" t="str">
        <f t="shared" si="7"/>
        <v/>
      </c>
      <c r="W42" t="str">
        <f t="shared" si="8"/>
        <v/>
      </c>
      <c r="X42" s="1196" t="str">
        <f t="shared" si="9"/>
        <v/>
      </c>
      <c r="AG42" t="str">
        <f t="shared" si="10"/>
        <v>NO</v>
      </c>
      <c r="AH42" t="str">
        <f t="shared" si="10"/>
        <v>NO</v>
      </c>
      <c r="AI42" t="str">
        <f t="shared" si="10"/>
        <v>NO</v>
      </c>
      <c r="AJ42" t="str">
        <f t="shared" si="10"/>
        <v>NO</v>
      </c>
      <c r="AK42" t="str">
        <f t="shared" si="10"/>
        <v>NO</v>
      </c>
      <c r="AL42" t="str">
        <f t="shared" si="10"/>
        <v/>
      </c>
      <c r="AN42" s="1196" t="str">
        <f t="shared" si="11"/>
        <v/>
      </c>
      <c r="BA42" s="1196" t="str">
        <f t="shared" si="12"/>
        <v/>
      </c>
    </row>
    <row r="43" spans="1:53" x14ac:dyDescent="0.35">
      <c r="A43" t="str">
        <f t="shared" si="5"/>
        <v>NO</v>
      </c>
      <c r="B43" t="str">
        <f t="shared" si="5"/>
        <v>NO</v>
      </c>
      <c r="C43" t="str">
        <f t="shared" si="5"/>
        <v>NO</v>
      </c>
      <c r="D43" t="str">
        <f t="shared" si="5"/>
        <v>NO</v>
      </c>
      <c r="E43" t="str">
        <f t="shared" si="5"/>
        <v>NO</v>
      </c>
      <c r="F43" t="str">
        <f t="shared" si="5"/>
        <v/>
      </c>
      <c r="H43" s="1196" t="str">
        <f t="shared" si="6"/>
        <v/>
      </c>
      <c r="Q43" t="str">
        <f t="shared" si="7"/>
        <v>NO</v>
      </c>
      <c r="R43" t="str">
        <f t="shared" si="7"/>
        <v>NO</v>
      </c>
      <c r="S43" t="str">
        <f t="shared" si="7"/>
        <v>NO</v>
      </c>
      <c r="T43" t="str">
        <f t="shared" si="7"/>
        <v>NO</v>
      </c>
      <c r="U43" t="str">
        <f t="shared" si="7"/>
        <v>NO</v>
      </c>
      <c r="V43" t="str">
        <f t="shared" si="7"/>
        <v/>
      </c>
      <c r="W43" t="str">
        <f t="shared" si="8"/>
        <v/>
      </c>
      <c r="X43" s="1196" t="str">
        <f t="shared" si="9"/>
        <v/>
      </c>
      <c r="AG43" t="str">
        <f t="shared" si="10"/>
        <v>NO</v>
      </c>
      <c r="AH43" t="str">
        <f t="shared" si="10"/>
        <v>NO</v>
      </c>
      <c r="AI43" t="str">
        <f t="shared" si="10"/>
        <v>NO</v>
      </c>
      <c r="AJ43" t="str">
        <f t="shared" si="10"/>
        <v>NO</v>
      </c>
      <c r="AK43" t="str">
        <f t="shared" si="10"/>
        <v>NO</v>
      </c>
      <c r="AL43" t="str">
        <f t="shared" si="10"/>
        <v/>
      </c>
      <c r="AN43" s="1196" t="str">
        <f t="shared" si="11"/>
        <v/>
      </c>
      <c r="BA43" s="1196" t="str">
        <f t="shared" si="12"/>
        <v/>
      </c>
    </row>
    <row r="44" spans="1:53" x14ac:dyDescent="0.35">
      <c r="A44" t="str">
        <f t="shared" si="5"/>
        <v>NO</v>
      </c>
      <c r="B44" t="str">
        <f t="shared" si="5"/>
        <v>NO</v>
      </c>
      <c r="C44" t="str">
        <f t="shared" si="5"/>
        <v>NO</v>
      </c>
      <c r="D44" t="str">
        <f t="shared" si="5"/>
        <v>NO</v>
      </c>
      <c r="E44" t="str">
        <f t="shared" si="5"/>
        <v>NO</v>
      </c>
      <c r="F44" t="str">
        <f t="shared" si="5"/>
        <v/>
      </c>
      <c r="H44" s="1196" t="str">
        <f t="shared" si="6"/>
        <v/>
      </c>
      <c r="Q44" t="str">
        <f t="shared" si="7"/>
        <v>NO</v>
      </c>
      <c r="R44" t="str">
        <f t="shared" si="7"/>
        <v>NO</v>
      </c>
      <c r="S44" t="str">
        <f t="shared" si="7"/>
        <v>NO</v>
      </c>
      <c r="T44" t="str">
        <f t="shared" si="7"/>
        <v>NO</v>
      </c>
      <c r="U44" t="str">
        <f t="shared" si="7"/>
        <v>NO</v>
      </c>
      <c r="V44" t="str">
        <f t="shared" si="7"/>
        <v/>
      </c>
      <c r="W44" t="str">
        <f t="shared" si="8"/>
        <v/>
      </c>
      <c r="X44" s="1196" t="str">
        <f t="shared" si="9"/>
        <v/>
      </c>
      <c r="AG44" t="str">
        <f t="shared" si="10"/>
        <v>NO</v>
      </c>
      <c r="AH44" t="str">
        <f t="shared" si="10"/>
        <v>NO</v>
      </c>
      <c r="AI44" t="str">
        <f t="shared" si="10"/>
        <v>NO</v>
      </c>
      <c r="AJ44" t="str">
        <f t="shared" si="10"/>
        <v>NO</v>
      </c>
      <c r="AK44" t="str">
        <f t="shared" si="10"/>
        <v>NO</v>
      </c>
      <c r="AL44" t="str">
        <f t="shared" si="10"/>
        <v/>
      </c>
      <c r="AN44" s="1196" t="str">
        <f t="shared" si="11"/>
        <v/>
      </c>
      <c r="BA44" s="1196" t="str">
        <f t="shared" si="12"/>
        <v/>
      </c>
    </row>
    <row r="45" spans="1:53" x14ac:dyDescent="0.35">
      <c r="A45" t="str">
        <f t="shared" si="5"/>
        <v>NO</v>
      </c>
      <c r="B45" t="str">
        <f t="shared" si="5"/>
        <v>NO</v>
      </c>
      <c r="C45" t="str">
        <f t="shared" si="5"/>
        <v>NO</v>
      </c>
      <c r="D45" t="str">
        <f t="shared" si="5"/>
        <v>NO</v>
      </c>
      <c r="E45" t="str">
        <f t="shared" si="5"/>
        <v>NO</v>
      </c>
      <c r="F45" t="str">
        <f t="shared" si="5"/>
        <v/>
      </c>
      <c r="H45" s="1196" t="str">
        <f t="shared" si="6"/>
        <v/>
      </c>
      <c r="Q45" t="str">
        <f t="shared" si="7"/>
        <v>NO</v>
      </c>
      <c r="R45" t="str">
        <f t="shared" si="7"/>
        <v>NO</v>
      </c>
      <c r="S45" t="str">
        <f t="shared" si="7"/>
        <v>NO</v>
      </c>
      <c r="T45" t="str">
        <f t="shared" si="7"/>
        <v>NO</v>
      </c>
      <c r="U45" t="str">
        <f t="shared" si="7"/>
        <v>NO</v>
      </c>
      <c r="V45" t="str">
        <f t="shared" si="7"/>
        <v/>
      </c>
      <c r="W45" t="str">
        <f t="shared" si="8"/>
        <v/>
      </c>
      <c r="X45" s="1196" t="str">
        <f t="shared" si="9"/>
        <v/>
      </c>
      <c r="AG45" t="str">
        <f t="shared" si="10"/>
        <v>NO</v>
      </c>
      <c r="AH45" t="str">
        <f t="shared" si="10"/>
        <v>NO</v>
      </c>
      <c r="AI45" t="str">
        <f t="shared" si="10"/>
        <v>NO</v>
      </c>
      <c r="AJ45" t="str">
        <f t="shared" si="10"/>
        <v>NO</v>
      </c>
      <c r="AK45" t="str">
        <f t="shared" si="10"/>
        <v>NO</v>
      </c>
      <c r="AL45" t="str">
        <f t="shared" si="10"/>
        <v/>
      </c>
      <c r="AN45" s="1196" t="str">
        <f t="shared" si="11"/>
        <v/>
      </c>
      <c r="BA45" s="1196" t="str">
        <f t="shared" si="12"/>
        <v/>
      </c>
    </row>
    <row r="46" spans="1:53" x14ac:dyDescent="0.35">
      <c r="A46" t="str">
        <f t="shared" si="5"/>
        <v>NO</v>
      </c>
      <c r="B46" t="str">
        <f t="shared" si="5"/>
        <v>NO</v>
      </c>
      <c r="C46" t="str">
        <f t="shared" si="5"/>
        <v>NO</v>
      </c>
      <c r="D46" t="str">
        <f t="shared" si="5"/>
        <v>NO</v>
      </c>
      <c r="E46" t="str">
        <f t="shared" si="5"/>
        <v>NO</v>
      </c>
      <c r="F46" t="str">
        <f t="shared" si="5"/>
        <v/>
      </c>
      <c r="H46" s="1196" t="str">
        <f t="shared" si="6"/>
        <v/>
      </c>
      <c r="Q46" t="str">
        <f t="shared" si="7"/>
        <v>NO</v>
      </c>
      <c r="R46" t="str">
        <f t="shared" si="7"/>
        <v>NO</v>
      </c>
      <c r="S46" t="str">
        <f t="shared" si="7"/>
        <v>NO</v>
      </c>
      <c r="T46" t="str">
        <f t="shared" si="7"/>
        <v>NO</v>
      </c>
      <c r="U46" t="str">
        <f t="shared" si="7"/>
        <v>NO</v>
      </c>
      <c r="V46" t="str">
        <f t="shared" si="7"/>
        <v/>
      </c>
      <c r="W46" t="str">
        <f t="shared" si="8"/>
        <v/>
      </c>
      <c r="X46" s="1196" t="str">
        <f t="shared" si="9"/>
        <v/>
      </c>
      <c r="AG46" t="str">
        <f t="shared" si="10"/>
        <v>NO</v>
      </c>
      <c r="AH46" t="str">
        <f t="shared" si="10"/>
        <v>NO</v>
      </c>
      <c r="AI46" t="str">
        <f t="shared" si="10"/>
        <v>NO</v>
      </c>
      <c r="AJ46" t="str">
        <f t="shared" si="10"/>
        <v>NO</v>
      </c>
      <c r="AK46" t="str">
        <f t="shared" si="10"/>
        <v>NO</v>
      </c>
      <c r="AL46" t="str">
        <f t="shared" si="10"/>
        <v/>
      </c>
      <c r="AN46" s="1196" t="str">
        <f t="shared" si="11"/>
        <v/>
      </c>
      <c r="BA46" s="1196" t="str">
        <f t="shared" si="12"/>
        <v/>
      </c>
    </row>
    <row r="47" spans="1:53" x14ac:dyDescent="0.35">
      <c r="A47" t="str">
        <f t="shared" si="5"/>
        <v>NO</v>
      </c>
      <c r="B47" t="str">
        <f t="shared" si="5"/>
        <v>NO</v>
      </c>
      <c r="C47" t="str">
        <f t="shared" si="5"/>
        <v>NO</v>
      </c>
      <c r="D47" t="str">
        <f t="shared" si="5"/>
        <v>NO</v>
      </c>
      <c r="E47" t="str">
        <f t="shared" si="5"/>
        <v>NO</v>
      </c>
      <c r="F47" t="str">
        <f t="shared" si="5"/>
        <v/>
      </c>
      <c r="H47" s="1196" t="str">
        <f t="shared" si="6"/>
        <v/>
      </c>
      <c r="Q47" t="str">
        <f t="shared" si="7"/>
        <v>NO</v>
      </c>
      <c r="R47" t="str">
        <f t="shared" si="7"/>
        <v>NO</v>
      </c>
      <c r="S47" t="str">
        <f t="shared" si="7"/>
        <v>NO</v>
      </c>
      <c r="T47" t="str">
        <f t="shared" si="7"/>
        <v>NO</v>
      </c>
      <c r="U47" t="str">
        <f t="shared" si="7"/>
        <v>NO</v>
      </c>
      <c r="V47" t="str">
        <f t="shared" si="7"/>
        <v/>
      </c>
      <c r="W47" t="str">
        <f t="shared" si="8"/>
        <v/>
      </c>
      <c r="X47" s="1196" t="str">
        <f t="shared" si="9"/>
        <v/>
      </c>
      <c r="AG47" t="str">
        <f t="shared" si="10"/>
        <v>NO</v>
      </c>
      <c r="AH47" t="str">
        <f t="shared" si="10"/>
        <v>NO</v>
      </c>
      <c r="AI47" t="str">
        <f t="shared" si="10"/>
        <v>NO</v>
      </c>
      <c r="AJ47" t="str">
        <f t="shared" si="10"/>
        <v>NO</v>
      </c>
      <c r="AK47" t="str">
        <f t="shared" si="10"/>
        <v>NO</v>
      </c>
      <c r="AL47" t="str">
        <f t="shared" si="10"/>
        <v/>
      </c>
      <c r="AN47" s="1196" t="str">
        <f t="shared" si="11"/>
        <v/>
      </c>
      <c r="BA47" s="1196" t="str">
        <f t="shared" si="12"/>
        <v/>
      </c>
    </row>
    <row r="48" spans="1:53" x14ac:dyDescent="0.35">
      <c r="A48" t="str">
        <f t="shared" si="5"/>
        <v>NO</v>
      </c>
      <c r="B48" t="str">
        <f t="shared" si="5"/>
        <v>NO</v>
      </c>
      <c r="C48" t="str">
        <f t="shared" si="5"/>
        <v>NO</v>
      </c>
      <c r="D48" t="str">
        <f t="shared" si="5"/>
        <v>NO</v>
      </c>
      <c r="E48" t="str">
        <f t="shared" si="5"/>
        <v>NO</v>
      </c>
      <c r="F48" t="str">
        <f t="shared" si="5"/>
        <v/>
      </c>
      <c r="H48" s="1196" t="str">
        <f t="shared" si="6"/>
        <v/>
      </c>
      <c r="Q48" t="str">
        <f t="shared" si="7"/>
        <v>NO</v>
      </c>
      <c r="R48" t="str">
        <f t="shared" si="7"/>
        <v>NO</v>
      </c>
      <c r="S48" t="str">
        <f t="shared" si="7"/>
        <v>NO</v>
      </c>
      <c r="T48" t="str">
        <f t="shared" si="7"/>
        <v>NO</v>
      </c>
      <c r="U48" t="str">
        <f t="shared" si="7"/>
        <v>NO</v>
      </c>
      <c r="V48" t="str">
        <f t="shared" si="7"/>
        <v/>
      </c>
      <c r="W48" t="str">
        <f t="shared" si="8"/>
        <v/>
      </c>
      <c r="X48" s="1196" t="str">
        <f t="shared" si="9"/>
        <v/>
      </c>
      <c r="AG48" t="str">
        <f t="shared" si="10"/>
        <v>NO</v>
      </c>
      <c r="AH48" t="str">
        <f t="shared" si="10"/>
        <v>NO</v>
      </c>
      <c r="AI48" t="str">
        <f t="shared" si="10"/>
        <v>NO</v>
      </c>
      <c r="AJ48" t="str">
        <f t="shared" si="10"/>
        <v>NO</v>
      </c>
      <c r="AK48" t="str">
        <f t="shared" si="10"/>
        <v>NO</v>
      </c>
      <c r="AL48" t="str">
        <f t="shared" si="10"/>
        <v/>
      </c>
      <c r="AN48" s="1196" t="str">
        <f t="shared" si="11"/>
        <v/>
      </c>
      <c r="BA48" s="1196" t="str">
        <f t="shared" si="12"/>
        <v/>
      </c>
    </row>
    <row r="49" spans="1:53" x14ac:dyDescent="0.35">
      <c r="A49" t="str">
        <f t="shared" si="5"/>
        <v>NO</v>
      </c>
      <c r="B49" t="str">
        <f t="shared" si="5"/>
        <v>NO</v>
      </c>
      <c r="C49" t="str">
        <f t="shared" si="5"/>
        <v>NO</v>
      </c>
      <c r="D49" t="str">
        <f t="shared" si="5"/>
        <v>NO</v>
      </c>
      <c r="E49" t="str">
        <f t="shared" si="5"/>
        <v>NO</v>
      </c>
      <c r="F49" t="str">
        <f t="shared" si="5"/>
        <v/>
      </c>
      <c r="H49" s="1196" t="str">
        <f t="shared" si="6"/>
        <v/>
      </c>
      <c r="Q49" t="str">
        <f t="shared" si="7"/>
        <v>NO</v>
      </c>
      <c r="R49" t="str">
        <f t="shared" si="7"/>
        <v>NO</v>
      </c>
      <c r="S49" t="str">
        <f t="shared" si="7"/>
        <v>NO</v>
      </c>
      <c r="T49" t="str">
        <f t="shared" si="7"/>
        <v>NO</v>
      </c>
      <c r="U49" t="str">
        <f t="shared" si="7"/>
        <v>NO</v>
      </c>
      <c r="V49" t="str">
        <f t="shared" si="7"/>
        <v/>
      </c>
      <c r="W49" t="str">
        <f t="shared" si="8"/>
        <v/>
      </c>
      <c r="X49" s="1196" t="str">
        <f t="shared" si="9"/>
        <v/>
      </c>
      <c r="AG49" t="str">
        <f t="shared" si="10"/>
        <v>NO</v>
      </c>
      <c r="AH49" t="str">
        <f t="shared" si="10"/>
        <v>NO</v>
      </c>
      <c r="AI49" t="str">
        <f t="shared" si="10"/>
        <v>NO</v>
      </c>
      <c r="AJ49" t="str">
        <f t="shared" si="10"/>
        <v>NO</v>
      </c>
      <c r="AK49" t="str">
        <f t="shared" si="10"/>
        <v>NO</v>
      </c>
      <c r="AL49" t="str">
        <f t="shared" si="10"/>
        <v/>
      </c>
      <c r="AN49" s="1196" t="str">
        <f t="shared" si="11"/>
        <v/>
      </c>
      <c r="BA49" s="1196" t="str">
        <f t="shared" si="12"/>
        <v/>
      </c>
    </row>
    <row r="50" spans="1:53" x14ac:dyDescent="0.35">
      <c r="A50" t="str">
        <f t="shared" si="5"/>
        <v>NO</v>
      </c>
      <c r="B50" t="str">
        <f t="shared" si="5"/>
        <v>NO</v>
      </c>
      <c r="C50" t="str">
        <f t="shared" si="5"/>
        <v>NO</v>
      </c>
      <c r="D50" t="str">
        <f t="shared" si="5"/>
        <v>NO</v>
      </c>
      <c r="E50" t="str">
        <f t="shared" si="5"/>
        <v>NO</v>
      </c>
      <c r="F50" t="str">
        <f t="shared" si="5"/>
        <v/>
      </c>
      <c r="H50" s="1196" t="str">
        <f t="shared" si="6"/>
        <v/>
      </c>
      <c r="Q50" t="str">
        <f t="shared" si="7"/>
        <v>NO</v>
      </c>
      <c r="R50" t="str">
        <f t="shared" si="7"/>
        <v>NO</v>
      </c>
      <c r="S50" t="str">
        <f t="shared" si="7"/>
        <v>NO</v>
      </c>
      <c r="T50" t="str">
        <f t="shared" si="7"/>
        <v>NO</v>
      </c>
      <c r="U50" t="str">
        <f t="shared" si="7"/>
        <v>NO</v>
      </c>
      <c r="V50" t="str">
        <f t="shared" si="7"/>
        <v/>
      </c>
      <c r="W50" t="str">
        <f t="shared" si="8"/>
        <v/>
      </c>
      <c r="X50" s="1196" t="str">
        <f t="shared" si="9"/>
        <v/>
      </c>
      <c r="AG50" t="str">
        <f t="shared" si="10"/>
        <v>NO</v>
      </c>
      <c r="AH50" t="str">
        <f t="shared" si="10"/>
        <v>NO</v>
      </c>
      <c r="AI50" t="str">
        <f t="shared" si="10"/>
        <v>NO</v>
      </c>
      <c r="AJ50" t="str">
        <f t="shared" si="10"/>
        <v>NO</v>
      </c>
      <c r="AK50" t="str">
        <f t="shared" si="10"/>
        <v>NO</v>
      </c>
      <c r="AL50" t="str">
        <f t="shared" si="10"/>
        <v/>
      </c>
      <c r="AN50" s="1196" t="str">
        <f t="shared" si="11"/>
        <v/>
      </c>
      <c r="BA50" s="1196" t="str">
        <f t="shared" si="12"/>
        <v/>
      </c>
    </row>
    <row r="51" spans="1:53" x14ac:dyDescent="0.35">
      <c r="A51" t="str">
        <f t="shared" si="5"/>
        <v>NO</v>
      </c>
      <c r="B51" t="str">
        <f t="shared" si="5"/>
        <v>NO</v>
      </c>
      <c r="C51" t="str">
        <f t="shared" si="5"/>
        <v>NO</v>
      </c>
      <c r="D51" t="str">
        <f t="shared" si="5"/>
        <v>NO</v>
      </c>
      <c r="E51" t="str">
        <f t="shared" si="5"/>
        <v>NO</v>
      </c>
      <c r="F51" t="str">
        <f t="shared" si="5"/>
        <v/>
      </c>
      <c r="H51" s="1196" t="str">
        <f t="shared" si="6"/>
        <v/>
      </c>
      <c r="Q51" t="str">
        <f t="shared" si="7"/>
        <v>NO</v>
      </c>
      <c r="R51" t="str">
        <f t="shared" si="7"/>
        <v>NO</v>
      </c>
      <c r="S51" t="str">
        <f t="shared" si="7"/>
        <v>NO</v>
      </c>
      <c r="T51" t="str">
        <f t="shared" si="7"/>
        <v>NO</v>
      </c>
      <c r="U51" t="str">
        <f t="shared" si="7"/>
        <v>NO</v>
      </c>
      <c r="V51" t="str">
        <f t="shared" si="7"/>
        <v/>
      </c>
      <c r="W51" t="str">
        <f t="shared" si="8"/>
        <v/>
      </c>
      <c r="X51" s="1196" t="str">
        <f t="shared" si="9"/>
        <v/>
      </c>
      <c r="AG51" t="str">
        <f t="shared" si="10"/>
        <v>NO</v>
      </c>
      <c r="AH51" t="str">
        <f t="shared" si="10"/>
        <v>NO</v>
      </c>
      <c r="AI51" t="str">
        <f t="shared" si="10"/>
        <v>NO</v>
      </c>
      <c r="AJ51" t="str">
        <f t="shared" si="10"/>
        <v>NO</v>
      </c>
      <c r="AK51" t="str">
        <f t="shared" si="10"/>
        <v>NO</v>
      </c>
      <c r="AL51" t="str">
        <f t="shared" si="10"/>
        <v/>
      </c>
      <c r="AN51" s="1196" t="str">
        <f t="shared" si="11"/>
        <v/>
      </c>
      <c r="BA51" s="1196" t="str">
        <f t="shared" si="12"/>
        <v/>
      </c>
    </row>
    <row r="52" spans="1:53" x14ac:dyDescent="0.35">
      <c r="A52" t="str">
        <f t="shared" si="5"/>
        <v>NO</v>
      </c>
      <c r="B52" t="str">
        <f t="shared" si="5"/>
        <v>NO</v>
      </c>
      <c r="C52" t="str">
        <f t="shared" si="5"/>
        <v>NO</v>
      </c>
      <c r="D52" t="str">
        <f t="shared" si="5"/>
        <v>NO</v>
      </c>
      <c r="E52" t="str">
        <f t="shared" si="5"/>
        <v>NO</v>
      </c>
      <c r="F52" t="str">
        <f t="shared" si="5"/>
        <v/>
      </c>
      <c r="H52" s="1196" t="str">
        <f t="shared" si="6"/>
        <v/>
      </c>
      <c r="Q52" t="str">
        <f t="shared" si="7"/>
        <v>NO</v>
      </c>
      <c r="R52" t="str">
        <f t="shared" si="7"/>
        <v>NO</v>
      </c>
      <c r="S52" t="str">
        <f t="shared" si="7"/>
        <v>NO</v>
      </c>
      <c r="T52" t="str">
        <f t="shared" si="7"/>
        <v>NO</v>
      </c>
      <c r="U52" t="str">
        <f t="shared" si="7"/>
        <v>NO</v>
      </c>
      <c r="V52" t="str">
        <f t="shared" si="7"/>
        <v/>
      </c>
      <c r="W52" t="str">
        <f t="shared" si="8"/>
        <v/>
      </c>
      <c r="X52" s="1196" t="str">
        <f t="shared" si="9"/>
        <v/>
      </c>
      <c r="AG52" t="str">
        <f t="shared" si="10"/>
        <v>NO</v>
      </c>
      <c r="AH52" t="str">
        <f t="shared" si="10"/>
        <v>NO</v>
      </c>
      <c r="AI52" t="str">
        <f t="shared" si="10"/>
        <v>NO</v>
      </c>
      <c r="AJ52" t="str">
        <f t="shared" si="10"/>
        <v>NO</v>
      </c>
      <c r="AK52" t="str">
        <f t="shared" si="10"/>
        <v>NO</v>
      </c>
      <c r="AL52" t="str">
        <f t="shared" si="10"/>
        <v/>
      </c>
      <c r="AN52" s="1196" t="str">
        <f t="shared" si="11"/>
        <v/>
      </c>
      <c r="BA52" s="1196" t="str">
        <f t="shared" si="12"/>
        <v/>
      </c>
    </row>
    <row r="53" spans="1:53" x14ac:dyDescent="0.35">
      <c r="A53" t="str">
        <f t="shared" si="5"/>
        <v>NO</v>
      </c>
      <c r="B53" t="str">
        <f t="shared" si="5"/>
        <v>NO</v>
      </c>
      <c r="C53" t="str">
        <f t="shared" si="5"/>
        <v>NO</v>
      </c>
      <c r="D53" t="str">
        <f t="shared" si="5"/>
        <v>NO</v>
      </c>
      <c r="E53" t="str">
        <f t="shared" si="5"/>
        <v>NO</v>
      </c>
      <c r="F53" t="str">
        <f t="shared" si="5"/>
        <v/>
      </c>
      <c r="H53" s="1196" t="str">
        <f t="shared" si="6"/>
        <v/>
      </c>
      <c r="Q53" t="str">
        <f t="shared" si="7"/>
        <v>NO</v>
      </c>
      <c r="R53" t="str">
        <f t="shared" si="7"/>
        <v>NO</v>
      </c>
      <c r="S53" t="str">
        <f t="shared" si="7"/>
        <v>NO</v>
      </c>
      <c r="T53" t="str">
        <f t="shared" si="7"/>
        <v>NO</v>
      </c>
      <c r="U53" t="str">
        <f t="shared" si="7"/>
        <v>NO</v>
      </c>
      <c r="V53" t="str">
        <f t="shared" si="7"/>
        <v/>
      </c>
      <c r="W53" t="str">
        <f t="shared" si="8"/>
        <v/>
      </c>
      <c r="X53" s="1196" t="str">
        <f t="shared" si="9"/>
        <v/>
      </c>
      <c r="AG53" t="str">
        <f t="shared" si="10"/>
        <v>NO</v>
      </c>
      <c r="AH53" t="str">
        <f t="shared" si="10"/>
        <v>NO</v>
      </c>
      <c r="AI53" t="str">
        <f t="shared" si="10"/>
        <v>NO</v>
      </c>
      <c r="AJ53" t="str">
        <f t="shared" si="10"/>
        <v>NO</v>
      </c>
      <c r="AK53" t="str">
        <f t="shared" si="10"/>
        <v>NO</v>
      </c>
      <c r="AL53" t="str">
        <f t="shared" si="10"/>
        <v/>
      </c>
      <c r="AN53" s="1196" t="str">
        <f t="shared" si="11"/>
        <v/>
      </c>
      <c r="BA53" s="1196" t="str">
        <f t="shared" si="12"/>
        <v/>
      </c>
    </row>
    <row r="54" spans="1:53" x14ac:dyDescent="0.35">
      <c r="A54" t="str">
        <f t="shared" si="5"/>
        <v>NO</v>
      </c>
      <c r="B54" t="str">
        <f t="shared" si="5"/>
        <v>NO</v>
      </c>
      <c r="C54" t="str">
        <f t="shared" si="5"/>
        <v>NO</v>
      </c>
      <c r="D54" t="str">
        <f t="shared" si="5"/>
        <v>NO</v>
      </c>
      <c r="E54" t="str">
        <f t="shared" si="5"/>
        <v>NO</v>
      </c>
      <c r="F54" t="str">
        <f t="shared" si="5"/>
        <v/>
      </c>
      <c r="H54" s="1196" t="str">
        <f t="shared" si="6"/>
        <v/>
      </c>
      <c r="Q54" t="str">
        <f t="shared" si="7"/>
        <v>NO</v>
      </c>
      <c r="R54" t="str">
        <f t="shared" si="7"/>
        <v>NO</v>
      </c>
      <c r="S54" t="str">
        <f t="shared" si="7"/>
        <v>NO</v>
      </c>
      <c r="T54" t="str">
        <f t="shared" si="7"/>
        <v>NO</v>
      </c>
      <c r="U54" t="str">
        <f t="shared" si="7"/>
        <v>NO</v>
      </c>
      <c r="V54" t="str">
        <f t="shared" si="7"/>
        <v/>
      </c>
      <c r="W54" t="str">
        <f t="shared" si="8"/>
        <v/>
      </c>
      <c r="X54" s="1196" t="str">
        <f t="shared" si="9"/>
        <v/>
      </c>
      <c r="AG54" t="str">
        <f t="shared" si="10"/>
        <v>NO</v>
      </c>
      <c r="AH54" t="str">
        <f t="shared" si="10"/>
        <v>NO</v>
      </c>
      <c r="AI54" t="str">
        <f t="shared" si="10"/>
        <v>NO</v>
      </c>
      <c r="AJ54" t="str">
        <f t="shared" si="10"/>
        <v>NO</v>
      </c>
      <c r="AK54" t="str">
        <f t="shared" si="10"/>
        <v>NO</v>
      </c>
      <c r="AL54" t="str">
        <f t="shared" si="10"/>
        <v/>
      </c>
      <c r="AN54" s="1196" t="str">
        <f t="shared" si="11"/>
        <v/>
      </c>
      <c r="BA54" s="1196" t="str">
        <f t="shared" si="12"/>
        <v/>
      </c>
    </row>
    <row r="55" spans="1:53" x14ac:dyDescent="0.35">
      <c r="A55" t="str">
        <f t="shared" si="5"/>
        <v>NO</v>
      </c>
      <c r="B55" t="str">
        <f t="shared" si="5"/>
        <v>NO</v>
      </c>
      <c r="C55" t="str">
        <f t="shared" si="5"/>
        <v>NO</v>
      </c>
      <c r="D55" t="str">
        <f t="shared" si="5"/>
        <v>NO</v>
      </c>
      <c r="E55" t="str">
        <f t="shared" si="5"/>
        <v>NO</v>
      </c>
      <c r="F55" t="str">
        <f t="shared" si="5"/>
        <v/>
      </c>
      <c r="H55" s="1196" t="str">
        <f t="shared" si="6"/>
        <v/>
      </c>
      <c r="Q55" t="str">
        <f t="shared" si="7"/>
        <v>NO</v>
      </c>
      <c r="R55" t="str">
        <f t="shared" si="7"/>
        <v>NO</v>
      </c>
      <c r="S55" t="str">
        <f t="shared" si="7"/>
        <v>NO</v>
      </c>
      <c r="T55" t="str">
        <f t="shared" si="7"/>
        <v>NO</v>
      </c>
      <c r="U55" t="str">
        <f t="shared" si="7"/>
        <v>NO</v>
      </c>
      <c r="V55" t="str">
        <f t="shared" si="7"/>
        <v/>
      </c>
      <c r="W55" t="str">
        <f t="shared" si="8"/>
        <v/>
      </c>
      <c r="X55" s="1196" t="str">
        <f t="shared" si="9"/>
        <v/>
      </c>
      <c r="AG55" t="str">
        <f t="shared" si="10"/>
        <v>NO</v>
      </c>
      <c r="AH55" t="str">
        <f t="shared" si="10"/>
        <v>NO</v>
      </c>
      <c r="AI55" t="str">
        <f t="shared" si="10"/>
        <v>NO</v>
      </c>
      <c r="AJ55" t="str">
        <f t="shared" si="10"/>
        <v>NO</v>
      </c>
      <c r="AK55" t="str">
        <f t="shared" si="10"/>
        <v>NO</v>
      </c>
      <c r="AL55" t="str">
        <f t="shared" si="10"/>
        <v/>
      </c>
      <c r="AN55" s="1196" t="str">
        <f t="shared" si="11"/>
        <v/>
      </c>
      <c r="BA55" s="1196" t="str">
        <f t="shared" si="12"/>
        <v/>
      </c>
    </row>
    <row r="56" spans="1:53" x14ac:dyDescent="0.35">
      <c r="A56" t="str">
        <f t="shared" si="5"/>
        <v>NO</v>
      </c>
      <c r="B56" t="str">
        <f t="shared" si="5"/>
        <v>NO</v>
      </c>
      <c r="C56" t="str">
        <f t="shared" si="5"/>
        <v>NO</v>
      </c>
      <c r="D56" t="str">
        <f t="shared" ref="C56:F119" si="19">IFERROR(IF($K56=D$2,_xlfn.CONCAT($I56,$J56),"NO"),0)</f>
        <v>NO</v>
      </c>
      <c r="E56" t="str">
        <f t="shared" si="19"/>
        <v>NO</v>
      </c>
      <c r="F56" t="str">
        <f t="shared" si="19"/>
        <v/>
      </c>
      <c r="H56" s="1196" t="str">
        <f t="shared" si="6"/>
        <v/>
      </c>
      <c r="Q56" t="str">
        <f t="shared" si="7"/>
        <v>NO</v>
      </c>
      <c r="R56" t="str">
        <f t="shared" si="7"/>
        <v>NO</v>
      </c>
      <c r="S56" t="str">
        <f t="shared" si="7"/>
        <v>NO</v>
      </c>
      <c r="T56" t="str">
        <f t="shared" si="7"/>
        <v>NO</v>
      </c>
      <c r="U56" t="str">
        <f t="shared" si="7"/>
        <v>NO</v>
      </c>
      <c r="V56" t="str">
        <f t="shared" si="7"/>
        <v/>
      </c>
      <c r="W56" t="str">
        <f t="shared" si="8"/>
        <v/>
      </c>
      <c r="X56" s="1196" t="str">
        <f t="shared" si="9"/>
        <v/>
      </c>
      <c r="AG56" t="str">
        <f t="shared" si="10"/>
        <v>NO</v>
      </c>
      <c r="AH56" t="str">
        <f t="shared" si="10"/>
        <v>NO</v>
      </c>
      <c r="AI56" t="str">
        <f t="shared" si="10"/>
        <v>NO</v>
      </c>
      <c r="AJ56" t="str">
        <f t="shared" si="10"/>
        <v>NO</v>
      </c>
      <c r="AK56" t="str">
        <f t="shared" si="10"/>
        <v>NO</v>
      </c>
      <c r="AL56" t="str">
        <f t="shared" si="10"/>
        <v/>
      </c>
      <c r="AN56" s="1196" t="str">
        <f t="shared" si="11"/>
        <v/>
      </c>
      <c r="BA56" s="1196" t="str">
        <f t="shared" si="12"/>
        <v/>
      </c>
    </row>
    <row r="57" spans="1:53" x14ac:dyDescent="0.35">
      <c r="A57" t="str">
        <f t="shared" ref="A57:F120" si="20">IFERROR(IF($K57=A$2,_xlfn.CONCAT($I57,$J57),"NO"),0)</f>
        <v>NO</v>
      </c>
      <c r="B57" t="str">
        <f t="shared" si="20"/>
        <v>NO</v>
      </c>
      <c r="C57" t="str">
        <f t="shared" si="19"/>
        <v>NO</v>
      </c>
      <c r="D57" t="str">
        <f t="shared" si="19"/>
        <v>NO</v>
      </c>
      <c r="E57" t="str">
        <f t="shared" si="19"/>
        <v>NO</v>
      </c>
      <c r="F57" t="str">
        <f t="shared" si="19"/>
        <v/>
      </c>
      <c r="H57" s="1196" t="str">
        <f t="shared" si="6"/>
        <v/>
      </c>
      <c r="Q57" t="str">
        <f t="shared" si="7"/>
        <v>NO</v>
      </c>
      <c r="R57" t="str">
        <f t="shared" si="7"/>
        <v>NO</v>
      </c>
      <c r="S57" t="str">
        <f t="shared" si="7"/>
        <v>NO</v>
      </c>
      <c r="T57" t="str">
        <f t="shared" si="7"/>
        <v>NO</v>
      </c>
      <c r="U57" t="str">
        <f t="shared" si="7"/>
        <v>NO</v>
      </c>
      <c r="V57" t="str">
        <f t="shared" si="7"/>
        <v/>
      </c>
      <c r="W57" t="str">
        <f t="shared" si="8"/>
        <v/>
      </c>
      <c r="X57" s="1196" t="str">
        <f t="shared" si="9"/>
        <v/>
      </c>
      <c r="AG57" t="str">
        <f t="shared" si="10"/>
        <v>NO</v>
      </c>
      <c r="AH57" t="str">
        <f t="shared" si="10"/>
        <v>NO</v>
      </c>
      <c r="AI57" t="str">
        <f t="shared" si="10"/>
        <v>NO</v>
      </c>
      <c r="AJ57" t="str">
        <f t="shared" si="10"/>
        <v>NO</v>
      </c>
      <c r="AK57" t="str">
        <f t="shared" si="10"/>
        <v>NO</v>
      </c>
      <c r="AL57" t="str">
        <f t="shared" si="10"/>
        <v/>
      </c>
      <c r="AN57" s="1196" t="str">
        <f t="shared" si="11"/>
        <v/>
      </c>
      <c r="BA57" s="1196" t="str">
        <f t="shared" si="12"/>
        <v/>
      </c>
    </row>
    <row r="58" spans="1:53" x14ac:dyDescent="0.35">
      <c r="A58" t="str">
        <f t="shared" si="20"/>
        <v>NO</v>
      </c>
      <c r="B58" t="str">
        <f t="shared" si="20"/>
        <v>NO</v>
      </c>
      <c r="C58" t="str">
        <f t="shared" si="19"/>
        <v>NO</v>
      </c>
      <c r="D58" t="str">
        <f t="shared" si="19"/>
        <v>NO</v>
      </c>
      <c r="E58" t="str">
        <f t="shared" si="19"/>
        <v>NO</v>
      </c>
      <c r="F58" t="str">
        <f t="shared" si="19"/>
        <v/>
      </c>
      <c r="H58" s="1196" t="str">
        <f t="shared" si="6"/>
        <v/>
      </c>
      <c r="Q58" t="str">
        <f t="shared" si="7"/>
        <v>NO</v>
      </c>
      <c r="R58" t="str">
        <f t="shared" si="7"/>
        <v>NO</v>
      </c>
      <c r="S58" t="str">
        <f t="shared" si="7"/>
        <v>NO</v>
      </c>
      <c r="T58" t="str">
        <f t="shared" si="7"/>
        <v>NO</v>
      </c>
      <c r="U58" t="str">
        <f t="shared" si="7"/>
        <v>NO</v>
      </c>
      <c r="V58" t="str">
        <f t="shared" si="7"/>
        <v/>
      </c>
      <c r="W58" t="str">
        <f t="shared" si="8"/>
        <v/>
      </c>
      <c r="X58" s="1196" t="str">
        <f t="shared" si="9"/>
        <v/>
      </c>
      <c r="AG58" t="str">
        <f t="shared" si="10"/>
        <v>NO</v>
      </c>
      <c r="AH58" t="str">
        <f t="shared" si="10"/>
        <v>NO</v>
      </c>
      <c r="AI58" t="str">
        <f t="shared" si="10"/>
        <v>NO</v>
      </c>
      <c r="AJ58" t="str">
        <f t="shared" si="10"/>
        <v>NO</v>
      </c>
      <c r="AK58" t="str">
        <f t="shared" si="10"/>
        <v>NO</v>
      </c>
      <c r="AL58" t="str">
        <f t="shared" si="10"/>
        <v/>
      </c>
      <c r="AN58" s="1196" t="str">
        <f t="shared" si="11"/>
        <v/>
      </c>
      <c r="BA58" s="1196" t="str">
        <f t="shared" si="12"/>
        <v/>
      </c>
    </row>
    <row r="59" spans="1:53" x14ac:dyDescent="0.35">
      <c r="A59" t="str">
        <f t="shared" si="20"/>
        <v>NO</v>
      </c>
      <c r="B59" t="str">
        <f t="shared" si="20"/>
        <v>NO</v>
      </c>
      <c r="C59" t="str">
        <f t="shared" si="19"/>
        <v>NO</v>
      </c>
      <c r="D59" t="str">
        <f t="shared" si="19"/>
        <v>NO</v>
      </c>
      <c r="E59" t="str">
        <f t="shared" si="19"/>
        <v>NO</v>
      </c>
      <c r="F59" t="str">
        <f t="shared" si="19"/>
        <v/>
      </c>
      <c r="H59" s="1196" t="str">
        <f t="shared" si="6"/>
        <v/>
      </c>
      <c r="Q59" t="str">
        <f t="shared" ref="Q59:V101" si="21">IFERROR(IF($AA59=Q$2,_xlfn.CONCAT($Y59,$Z59),"NO"),0)</f>
        <v>NO</v>
      </c>
      <c r="R59" t="str">
        <f t="shared" si="21"/>
        <v>NO</v>
      </c>
      <c r="S59" t="str">
        <f t="shared" si="21"/>
        <v>NO</v>
      </c>
      <c r="T59" t="str">
        <f t="shared" si="21"/>
        <v>NO</v>
      </c>
      <c r="U59" t="str">
        <f t="shared" si="21"/>
        <v>NO</v>
      </c>
      <c r="V59" t="str">
        <f t="shared" si="21"/>
        <v/>
      </c>
      <c r="W59" t="str">
        <f t="shared" si="8"/>
        <v/>
      </c>
      <c r="X59" s="1196" t="str">
        <f t="shared" si="9"/>
        <v/>
      </c>
      <c r="AG59" t="str">
        <f t="shared" ref="AG59:AL101" si="22">IFERROR(IF($AQ59=AG$2,_xlfn.CONCAT($AO59,$AP59),"NO"),0)</f>
        <v>NO</v>
      </c>
      <c r="AH59" t="str">
        <f t="shared" si="22"/>
        <v>NO</v>
      </c>
      <c r="AI59" t="str">
        <f t="shared" si="22"/>
        <v>NO</v>
      </c>
      <c r="AJ59" t="str">
        <f t="shared" si="22"/>
        <v>NO</v>
      </c>
      <c r="AK59" t="str">
        <f t="shared" si="22"/>
        <v>NO</v>
      </c>
      <c r="AL59" t="str">
        <f t="shared" si="22"/>
        <v/>
      </c>
      <c r="AN59" s="1196" t="str">
        <f t="shared" si="11"/>
        <v/>
      </c>
      <c r="BA59" s="1196" t="str">
        <f t="shared" si="12"/>
        <v/>
      </c>
    </row>
    <row r="60" spans="1:53" x14ac:dyDescent="0.35">
      <c r="A60" t="str">
        <f t="shared" si="20"/>
        <v>NO</v>
      </c>
      <c r="B60" t="str">
        <f t="shared" si="20"/>
        <v>NO</v>
      </c>
      <c r="C60" t="str">
        <f t="shared" si="19"/>
        <v>NO</v>
      </c>
      <c r="D60" t="str">
        <f t="shared" si="19"/>
        <v>NO</v>
      </c>
      <c r="E60" t="str">
        <f t="shared" si="19"/>
        <v>NO</v>
      </c>
      <c r="F60" t="str">
        <f t="shared" si="19"/>
        <v/>
      </c>
      <c r="H60" s="1196" t="str">
        <f t="shared" si="6"/>
        <v/>
      </c>
      <c r="Q60" t="str">
        <f t="shared" si="21"/>
        <v>NO</v>
      </c>
      <c r="R60" t="str">
        <f t="shared" si="21"/>
        <v>NO</v>
      </c>
      <c r="S60" t="str">
        <f t="shared" si="21"/>
        <v>NO</v>
      </c>
      <c r="T60" t="str">
        <f t="shared" si="21"/>
        <v>NO</v>
      </c>
      <c r="U60" t="str">
        <f t="shared" si="21"/>
        <v>NO</v>
      </c>
      <c r="V60" t="str">
        <f t="shared" si="21"/>
        <v/>
      </c>
      <c r="W60" t="str">
        <f t="shared" si="8"/>
        <v/>
      </c>
      <c r="X60" s="1196" t="str">
        <f t="shared" si="9"/>
        <v/>
      </c>
      <c r="AG60" t="str">
        <f t="shared" si="22"/>
        <v>NO</v>
      </c>
      <c r="AH60" t="str">
        <f t="shared" si="22"/>
        <v>NO</v>
      </c>
      <c r="AI60" t="str">
        <f t="shared" si="22"/>
        <v>NO</v>
      </c>
      <c r="AJ60" t="str">
        <f t="shared" si="22"/>
        <v>NO</v>
      </c>
      <c r="AK60" t="str">
        <f t="shared" si="22"/>
        <v>NO</v>
      </c>
      <c r="AL60" t="str">
        <f t="shared" si="22"/>
        <v/>
      </c>
      <c r="AN60" s="1196" t="str">
        <f t="shared" si="11"/>
        <v/>
      </c>
      <c r="BA60" s="1196" t="str">
        <f t="shared" si="12"/>
        <v/>
      </c>
    </row>
    <row r="61" spans="1:53" x14ac:dyDescent="0.35">
      <c r="A61" t="str">
        <f t="shared" si="20"/>
        <v>NO</v>
      </c>
      <c r="B61" t="str">
        <f t="shared" si="20"/>
        <v>NO</v>
      </c>
      <c r="C61" t="str">
        <f t="shared" si="19"/>
        <v>NO</v>
      </c>
      <c r="D61" t="str">
        <f t="shared" si="19"/>
        <v>NO</v>
      </c>
      <c r="E61" t="str">
        <f t="shared" si="19"/>
        <v>NO</v>
      </c>
      <c r="F61" t="str">
        <f t="shared" si="19"/>
        <v/>
      </c>
      <c r="H61" s="1196" t="str">
        <f t="shared" si="6"/>
        <v/>
      </c>
      <c r="Q61" t="str">
        <f t="shared" si="21"/>
        <v>NO</v>
      </c>
      <c r="R61" t="str">
        <f t="shared" si="21"/>
        <v>NO</v>
      </c>
      <c r="S61" t="str">
        <f t="shared" si="21"/>
        <v>NO</v>
      </c>
      <c r="T61" t="str">
        <f t="shared" si="21"/>
        <v>NO</v>
      </c>
      <c r="U61" t="str">
        <f t="shared" si="21"/>
        <v>NO</v>
      </c>
      <c r="V61" t="str">
        <f t="shared" si="21"/>
        <v/>
      </c>
      <c r="W61" t="str">
        <f t="shared" si="8"/>
        <v/>
      </c>
      <c r="X61" s="1196" t="str">
        <f t="shared" si="9"/>
        <v/>
      </c>
      <c r="AG61" t="str">
        <f t="shared" si="22"/>
        <v>NO</v>
      </c>
      <c r="AH61" t="str">
        <f t="shared" si="22"/>
        <v>NO</v>
      </c>
      <c r="AI61" t="str">
        <f t="shared" si="22"/>
        <v>NO</v>
      </c>
      <c r="AJ61" t="str">
        <f t="shared" si="22"/>
        <v>NO</v>
      </c>
      <c r="AK61" t="str">
        <f t="shared" si="22"/>
        <v>NO</v>
      </c>
      <c r="AL61" t="str">
        <f t="shared" si="22"/>
        <v/>
      </c>
      <c r="AN61" s="1196" t="str">
        <f t="shared" si="11"/>
        <v/>
      </c>
      <c r="BA61" s="1196" t="str">
        <f t="shared" si="12"/>
        <v/>
      </c>
    </row>
    <row r="62" spans="1:53" x14ac:dyDescent="0.35">
      <c r="A62" t="str">
        <f t="shared" si="20"/>
        <v>NO</v>
      </c>
      <c r="B62" t="str">
        <f t="shared" si="20"/>
        <v>NO</v>
      </c>
      <c r="C62" t="str">
        <f t="shared" si="19"/>
        <v>NO</v>
      </c>
      <c r="D62" t="str">
        <f t="shared" si="19"/>
        <v>NO</v>
      </c>
      <c r="E62" t="str">
        <f t="shared" si="19"/>
        <v>NO</v>
      </c>
      <c r="F62" t="str">
        <f t="shared" si="19"/>
        <v/>
      </c>
      <c r="H62" s="1196" t="str">
        <f t="shared" si="6"/>
        <v/>
      </c>
      <c r="Q62" t="str">
        <f t="shared" si="21"/>
        <v>NO</v>
      </c>
      <c r="R62" t="str">
        <f t="shared" si="21"/>
        <v>NO</v>
      </c>
      <c r="S62" t="str">
        <f t="shared" si="21"/>
        <v>NO</v>
      </c>
      <c r="T62" t="str">
        <f t="shared" si="21"/>
        <v>NO</v>
      </c>
      <c r="U62" t="str">
        <f t="shared" si="21"/>
        <v>NO</v>
      </c>
      <c r="V62" t="str">
        <f t="shared" si="21"/>
        <v/>
      </c>
      <c r="W62" t="str">
        <f t="shared" si="8"/>
        <v/>
      </c>
      <c r="X62" s="1196" t="str">
        <f t="shared" si="9"/>
        <v/>
      </c>
      <c r="AG62" t="str">
        <f t="shared" si="22"/>
        <v>NO</v>
      </c>
      <c r="AH62" t="str">
        <f t="shared" si="22"/>
        <v>NO</v>
      </c>
      <c r="AI62" t="str">
        <f t="shared" si="22"/>
        <v>NO</v>
      </c>
      <c r="AJ62" t="str">
        <f t="shared" si="22"/>
        <v>NO</v>
      </c>
      <c r="AK62" t="str">
        <f t="shared" si="22"/>
        <v>NO</v>
      </c>
      <c r="AL62" t="str">
        <f t="shared" si="22"/>
        <v/>
      </c>
      <c r="AN62" s="1196" t="str">
        <f t="shared" si="11"/>
        <v/>
      </c>
      <c r="BA62" s="1196" t="str">
        <f t="shared" si="12"/>
        <v/>
      </c>
    </row>
    <row r="63" spans="1:53" x14ac:dyDescent="0.35">
      <c r="A63" t="str">
        <f t="shared" si="20"/>
        <v>NO</v>
      </c>
      <c r="B63" t="str">
        <f t="shared" si="20"/>
        <v>NO</v>
      </c>
      <c r="C63" t="str">
        <f t="shared" si="19"/>
        <v>NO</v>
      </c>
      <c r="D63" t="str">
        <f t="shared" si="19"/>
        <v>NO</v>
      </c>
      <c r="E63" t="str">
        <f t="shared" si="19"/>
        <v>NO</v>
      </c>
      <c r="F63" t="str">
        <f t="shared" si="19"/>
        <v/>
      </c>
      <c r="H63" s="1196" t="str">
        <f t="shared" si="6"/>
        <v/>
      </c>
      <c r="Q63" t="str">
        <f t="shared" si="21"/>
        <v>NO</v>
      </c>
      <c r="R63" t="str">
        <f t="shared" si="21"/>
        <v>NO</v>
      </c>
      <c r="S63" t="str">
        <f t="shared" si="21"/>
        <v>NO</v>
      </c>
      <c r="T63" t="str">
        <f t="shared" si="21"/>
        <v>NO</v>
      </c>
      <c r="U63" t="str">
        <f t="shared" si="21"/>
        <v>NO</v>
      </c>
      <c r="V63" t="str">
        <f t="shared" si="21"/>
        <v/>
      </c>
      <c r="W63" t="str">
        <f t="shared" si="8"/>
        <v/>
      </c>
      <c r="X63" s="1196" t="str">
        <f t="shared" si="9"/>
        <v/>
      </c>
      <c r="AG63" t="str">
        <f t="shared" si="22"/>
        <v>NO</v>
      </c>
      <c r="AH63" t="str">
        <f t="shared" si="22"/>
        <v>NO</v>
      </c>
      <c r="AI63" t="str">
        <f t="shared" si="22"/>
        <v>NO</v>
      </c>
      <c r="AJ63" t="str">
        <f t="shared" si="22"/>
        <v>NO</v>
      </c>
      <c r="AK63" t="str">
        <f t="shared" si="22"/>
        <v>NO</v>
      </c>
      <c r="AL63" t="str">
        <f t="shared" si="22"/>
        <v/>
      </c>
      <c r="AN63" s="1196" t="str">
        <f t="shared" si="11"/>
        <v/>
      </c>
      <c r="BA63" s="1196" t="str">
        <f t="shared" si="12"/>
        <v/>
      </c>
    </row>
    <row r="64" spans="1:53" x14ac:dyDescent="0.35">
      <c r="A64" t="str">
        <f t="shared" si="20"/>
        <v>NO</v>
      </c>
      <c r="B64" t="str">
        <f t="shared" si="20"/>
        <v>NO</v>
      </c>
      <c r="C64" t="str">
        <f t="shared" si="19"/>
        <v>NO</v>
      </c>
      <c r="D64" t="str">
        <f t="shared" si="19"/>
        <v>NO</v>
      </c>
      <c r="E64" t="str">
        <f t="shared" si="19"/>
        <v>NO</v>
      </c>
      <c r="F64" t="str">
        <f t="shared" si="19"/>
        <v/>
      </c>
      <c r="H64" s="1196" t="str">
        <f t="shared" si="6"/>
        <v/>
      </c>
      <c r="Q64" t="str">
        <f t="shared" si="21"/>
        <v>NO</v>
      </c>
      <c r="R64" t="str">
        <f t="shared" si="21"/>
        <v>NO</v>
      </c>
      <c r="S64" t="str">
        <f t="shared" si="21"/>
        <v>NO</v>
      </c>
      <c r="T64" t="str">
        <f t="shared" si="21"/>
        <v>NO</v>
      </c>
      <c r="U64" t="str">
        <f t="shared" si="21"/>
        <v>NO</v>
      </c>
      <c r="V64" t="str">
        <f t="shared" si="21"/>
        <v/>
      </c>
      <c r="W64" t="str">
        <f t="shared" si="8"/>
        <v/>
      </c>
      <c r="X64" s="1196" t="str">
        <f t="shared" si="9"/>
        <v/>
      </c>
      <c r="AG64" t="str">
        <f t="shared" si="22"/>
        <v>NO</v>
      </c>
      <c r="AH64" t="str">
        <f t="shared" si="22"/>
        <v>NO</v>
      </c>
      <c r="AI64" t="str">
        <f t="shared" si="22"/>
        <v>NO</v>
      </c>
      <c r="AJ64" t="str">
        <f t="shared" si="22"/>
        <v>NO</v>
      </c>
      <c r="AK64" t="str">
        <f t="shared" si="22"/>
        <v>NO</v>
      </c>
      <c r="AL64" t="str">
        <f t="shared" si="22"/>
        <v/>
      </c>
      <c r="AN64" s="1196" t="str">
        <f t="shared" si="11"/>
        <v/>
      </c>
      <c r="BA64" s="1196" t="str">
        <f t="shared" si="12"/>
        <v/>
      </c>
    </row>
    <row r="65" spans="1:53" x14ac:dyDescent="0.35">
      <c r="A65" t="str">
        <f t="shared" si="20"/>
        <v>NO</v>
      </c>
      <c r="B65" t="str">
        <f t="shared" si="20"/>
        <v>NO</v>
      </c>
      <c r="C65" t="str">
        <f t="shared" si="19"/>
        <v>NO</v>
      </c>
      <c r="D65" t="str">
        <f t="shared" si="19"/>
        <v>NO</v>
      </c>
      <c r="E65" t="str">
        <f t="shared" si="19"/>
        <v>NO</v>
      </c>
      <c r="F65" t="str">
        <f t="shared" si="19"/>
        <v/>
      </c>
      <c r="H65" s="1196" t="str">
        <f t="shared" si="6"/>
        <v/>
      </c>
      <c r="Q65" t="str">
        <f t="shared" si="21"/>
        <v>NO</v>
      </c>
      <c r="R65" t="str">
        <f t="shared" si="21"/>
        <v>NO</v>
      </c>
      <c r="S65" t="str">
        <f t="shared" si="21"/>
        <v>NO</v>
      </c>
      <c r="T65" t="str">
        <f t="shared" si="21"/>
        <v>NO</v>
      </c>
      <c r="U65" t="str">
        <f t="shared" si="21"/>
        <v>NO</v>
      </c>
      <c r="V65" t="str">
        <f t="shared" si="21"/>
        <v/>
      </c>
      <c r="W65" t="str">
        <f t="shared" si="8"/>
        <v/>
      </c>
      <c r="X65" s="1196" t="str">
        <f t="shared" si="9"/>
        <v/>
      </c>
      <c r="AG65" t="str">
        <f t="shared" si="22"/>
        <v>NO</v>
      </c>
      <c r="AH65" t="str">
        <f t="shared" si="22"/>
        <v>NO</v>
      </c>
      <c r="AI65" t="str">
        <f t="shared" si="22"/>
        <v>NO</v>
      </c>
      <c r="AJ65" t="str">
        <f t="shared" si="22"/>
        <v>NO</v>
      </c>
      <c r="AK65" t="str">
        <f t="shared" si="22"/>
        <v>NO</v>
      </c>
      <c r="AL65" t="str">
        <f t="shared" si="22"/>
        <v/>
      </c>
      <c r="AN65" s="1196" t="str">
        <f t="shared" si="11"/>
        <v/>
      </c>
      <c r="BA65" s="1196" t="str">
        <f t="shared" si="12"/>
        <v/>
      </c>
    </row>
    <row r="66" spans="1:53" x14ac:dyDescent="0.35">
      <c r="A66" t="str">
        <f t="shared" si="20"/>
        <v>NO</v>
      </c>
      <c r="B66" t="str">
        <f t="shared" si="20"/>
        <v>NO</v>
      </c>
      <c r="C66" t="str">
        <f t="shared" si="19"/>
        <v>NO</v>
      </c>
      <c r="D66" t="str">
        <f t="shared" si="19"/>
        <v>NO</v>
      </c>
      <c r="E66" t="str">
        <f t="shared" si="19"/>
        <v>NO</v>
      </c>
      <c r="F66" t="str">
        <f t="shared" si="19"/>
        <v/>
      </c>
      <c r="H66" s="1196" t="str">
        <f t="shared" si="6"/>
        <v/>
      </c>
      <c r="Q66" t="str">
        <f t="shared" si="21"/>
        <v>NO</v>
      </c>
      <c r="R66" t="str">
        <f t="shared" si="21"/>
        <v>NO</v>
      </c>
      <c r="S66" t="str">
        <f t="shared" si="21"/>
        <v>NO</v>
      </c>
      <c r="T66" t="str">
        <f t="shared" si="21"/>
        <v>NO</v>
      </c>
      <c r="U66" t="str">
        <f t="shared" si="21"/>
        <v>NO</v>
      </c>
      <c r="V66" t="str">
        <f t="shared" si="21"/>
        <v/>
      </c>
      <c r="W66" t="str">
        <f t="shared" si="8"/>
        <v/>
      </c>
      <c r="X66" s="1196" t="str">
        <f t="shared" si="9"/>
        <v/>
      </c>
      <c r="AG66" t="str">
        <f t="shared" si="22"/>
        <v>NO</v>
      </c>
      <c r="AH66" t="str">
        <f t="shared" si="22"/>
        <v>NO</v>
      </c>
      <c r="AI66" t="str">
        <f t="shared" si="22"/>
        <v>NO</v>
      </c>
      <c r="AJ66" t="str">
        <f t="shared" si="22"/>
        <v>NO</v>
      </c>
      <c r="AK66" t="str">
        <f t="shared" si="22"/>
        <v>NO</v>
      </c>
      <c r="AL66" t="str">
        <f t="shared" si="22"/>
        <v/>
      </c>
      <c r="AN66" s="1196" t="str">
        <f t="shared" si="11"/>
        <v/>
      </c>
      <c r="BA66" s="1196" t="str">
        <f t="shared" si="12"/>
        <v/>
      </c>
    </row>
    <row r="67" spans="1:53" x14ac:dyDescent="0.35">
      <c r="A67" t="str">
        <f t="shared" si="20"/>
        <v>NO</v>
      </c>
      <c r="B67" t="str">
        <f t="shared" si="20"/>
        <v>NO</v>
      </c>
      <c r="C67" t="str">
        <f t="shared" si="19"/>
        <v>NO</v>
      </c>
      <c r="D67" t="str">
        <f t="shared" si="19"/>
        <v>NO</v>
      </c>
      <c r="E67" t="str">
        <f t="shared" si="19"/>
        <v>NO</v>
      </c>
      <c r="F67" t="str">
        <f t="shared" si="19"/>
        <v/>
      </c>
      <c r="H67" s="1196" t="str">
        <f t="shared" si="6"/>
        <v/>
      </c>
      <c r="Q67" t="str">
        <f t="shared" si="21"/>
        <v>NO</v>
      </c>
      <c r="R67" t="str">
        <f t="shared" si="21"/>
        <v>NO</v>
      </c>
      <c r="S67" t="str">
        <f t="shared" si="21"/>
        <v>NO</v>
      </c>
      <c r="T67" t="str">
        <f t="shared" si="21"/>
        <v>NO</v>
      </c>
      <c r="U67" t="str">
        <f t="shared" si="21"/>
        <v>NO</v>
      </c>
      <c r="V67" t="str">
        <f t="shared" si="21"/>
        <v/>
      </c>
      <c r="W67" t="str">
        <f t="shared" si="8"/>
        <v/>
      </c>
      <c r="X67" s="1196" t="str">
        <f t="shared" si="9"/>
        <v/>
      </c>
      <c r="AG67" t="str">
        <f t="shared" si="22"/>
        <v>NO</v>
      </c>
      <c r="AH67" t="str">
        <f t="shared" si="22"/>
        <v>NO</v>
      </c>
      <c r="AI67" t="str">
        <f t="shared" si="22"/>
        <v>NO</v>
      </c>
      <c r="AJ67" t="str">
        <f t="shared" si="22"/>
        <v>NO</v>
      </c>
      <c r="AK67" t="str">
        <f t="shared" si="22"/>
        <v>NO</v>
      </c>
      <c r="AL67" t="str">
        <f t="shared" si="22"/>
        <v/>
      </c>
      <c r="AN67" s="1196" t="str">
        <f t="shared" si="11"/>
        <v/>
      </c>
      <c r="BA67" s="1196" t="str">
        <f t="shared" si="12"/>
        <v/>
      </c>
    </row>
    <row r="68" spans="1:53" x14ac:dyDescent="0.35">
      <c r="A68" t="str">
        <f t="shared" si="20"/>
        <v>NO</v>
      </c>
      <c r="B68" t="str">
        <f t="shared" si="20"/>
        <v>NO</v>
      </c>
      <c r="C68" t="str">
        <f t="shared" si="19"/>
        <v>NO</v>
      </c>
      <c r="D68" t="str">
        <f t="shared" si="19"/>
        <v>NO</v>
      </c>
      <c r="E68" t="str">
        <f t="shared" si="19"/>
        <v>NO</v>
      </c>
      <c r="F68" t="str">
        <f t="shared" si="19"/>
        <v/>
      </c>
      <c r="H68" s="1196" t="str">
        <f t="shared" ref="H68:H131" si="23">_xlfn.CONCAT(I68,J68,)</f>
        <v/>
      </c>
      <c r="Q68" t="str">
        <f t="shared" si="21"/>
        <v>NO</v>
      </c>
      <c r="R68" t="str">
        <f t="shared" si="21"/>
        <v>NO</v>
      </c>
      <c r="S68" t="str">
        <f t="shared" si="21"/>
        <v>NO</v>
      </c>
      <c r="T68" t="str">
        <f t="shared" si="21"/>
        <v>NO</v>
      </c>
      <c r="U68" t="str">
        <f t="shared" si="21"/>
        <v>NO</v>
      </c>
      <c r="V68" t="str">
        <f t="shared" si="21"/>
        <v/>
      </c>
      <c r="W68" t="str">
        <f t="shared" ref="W68:W131" si="24">IF(AV68=W67,_xlfn.CONCAT(AE68,AU68))</f>
        <v/>
      </c>
      <c r="X68" s="1196" t="str">
        <f t="shared" ref="X68:X131" si="25">_xlfn.CONCAT(Y68,Z68,)</f>
        <v/>
      </c>
      <c r="AG68" t="str">
        <f t="shared" si="22"/>
        <v>NO</v>
      </c>
      <c r="AH68" t="str">
        <f t="shared" si="22"/>
        <v>NO</v>
      </c>
      <c r="AI68" t="str">
        <f t="shared" si="22"/>
        <v>NO</v>
      </c>
      <c r="AJ68" t="str">
        <f t="shared" si="22"/>
        <v>NO</v>
      </c>
      <c r="AK68" t="str">
        <f t="shared" si="22"/>
        <v>NO</v>
      </c>
      <c r="AL68" t="str">
        <f t="shared" si="22"/>
        <v/>
      </c>
      <c r="AN68" s="1196" t="str">
        <f t="shared" ref="AN68:AN131" si="26">_xlfn.CONCAT(AO68,AP68,)</f>
        <v/>
      </c>
      <c r="BA68" s="1196" t="str">
        <f t="shared" ref="BA68:BA131" si="27">+IF(AZ68="si",_xlfn.CONCAT(AY68,AX68),"")</f>
        <v/>
      </c>
    </row>
    <row r="69" spans="1:53" x14ac:dyDescent="0.35">
      <c r="A69" t="str">
        <f t="shared" si="20"/>
        <v>NO</v>
      </c>
      <c r="B69" t="str">
        <f t="shared" si="20"/>
        <v>NO</v>
      </c>
      <c r="C69" t="str">
        <f t="shared" si="19"/>
        <v>NO</v>
      </c>
      <c r="D69" t="str">
        <f t="shared" si="19"/>
        <v>NO</v>
      </c>
      <c r="E69" t="str">
        <f t="shared" si="19"/>
        <v>NO</v>
      </c>
      <c r="F69" t="str">
        <f t="shared" si="19"/>
        <v/>
      </c>
      <c r="H69" s="1196" t="str">
        <f t="shared" si="23"/>
        <v/>
      </c>
      <c r="Q69" t="str">
        <f t="shared" si="21"/>
        <v>NO</v>
      </c>
      <c r="R69" t="str">
        <f t="shared" si="21"/>
        <v>NO</v>
      </c>
      <c r="S69" t="str">
        <f t="shared" si="21"/>
        <v>NO</v>
      </c>
      <c r="T69" t="str">
        <f t="shared" si="21"/>
        <v>NO</v>
      </c>
      <c r="U69" t="str">
        <f t="shared" si="21"/>
        <v>NO</v>
      </c>
      <c r="V69" t="str">
        <f t="shared" si="21"/>
        <v/>
      </c>
      <c r="W69" t="str">
        <f t="shared" si="24"/>
        <v/>
      </c>
      <c r="X69" s="1196" t="str">
        <f t="shared" si="25"/>
        <v/>
      </c>
      <c r="AG69" t="str">
        <f t="shared" si="22"/>
        <v>NO</v>
      </c>
      <c r="AH69" t="str">
        <f t="shared" si="22"/>
        <v>NO</v>
      </c>
      <c r="AI69" t="str">
        <f t="shared" si="22"/>
        <v>NO</v>
      </c>
      <c r="AJ69" t="str">
        <f t="shared" si="22"/>
        <v>NO</v>
      </c>
      <c r="AK69" t="str">
        <f t="shared" si="22"/>
        <v>NO</v>
      </c>
      <c r="AL69" t="str">
        <f t="shared" si="22"/>
        <v/>
      </c>
      <c r="AN69" s="1196" t="str">
        <f t="shared" si="26"/>
        <v/>
      </c>
      <c r="BA69" s="1196" t="str">
        <f t="shared" si="27"/>
        <v/>
      </c>
    </row>
    <row r="70" spans="1:53" x14ac:dyDescent="0.35">
      <c r="A70" t="str">
        <f t="shared" si="20"/>
        <v>NO</v>
      </c>
      <c r="B70" t="str">
        <f t="shared" si="20"/>
        <v>NO</v>
      </c>
      <c r="C70" t="str">
        <f t="shared" si="19"/>
        <v>NO</v>
      </c>
      <c r="D70" t="str">
        <f t="shared" si="19"/>
        <v>NO</v>
      </c>
      <c r="E70" t="str">
        <f t="shared" si="19"/>
        <v>NO</v>
      </c>
      <c r="F70" t="str">
        <f t="shared" si="19"/>
        <v/>
      </c>
      <c r="H70" s="1196" t="str">
        <f t="shared" si="23"/>
        <v/>
      </c>
      <c r="Q70" t="str">
        <f t="shared" si="21"/>
        <v>NO</v>
      </c>
      <c r="R70" t="str">
        <f t="shared" si="21"/>
        <v>NO</v>
      </c>
      <c r="S70" t="str">
        <f t="shared" si="21"/>
        <v>NO</v>
      </c>
      <c r="T70" t="str">
        <f t="shared" si="21"/>
        <v>NO</v>
      </c>
      <c r="U70" t="str">
        <f t="shared" si="21"/>
        <v>NO</v>
      </c>
      <c r="V70" t="str">
        <f t="shared" si="21"/>
        <v/>
      </c>
      <c r="W70" t="str">
        <f t="shared" si="24"/>
        <v/>
      </c>
      <c r="X70" s="1196" t="str">
        <f t="shared" si="25"/>
        <v/>
      </c>
      <c r="AG70" t="str">
        <f t="shared" si="22"/>
        <v>NO</v>
      </c>
      <c r="AH70" t="str">
        <f t="shared" si="22"/>
        <v>NO</v>
      </c>
      <c r="AI70" t="str">
        <f t="shared" si="22"/>
        <v>NO</v>
      </c>
      <c r="AJ70" t="str">
        <f t="shared" si="22"/>
        <v>NO</v>
      </c>
      <c r="AK70" t="str">
        <f t="shared" si="22"/>
        <v>NO</v>
      </c>
      <c r="AL70" t="str">
        <f t="shared" si="22"/>
        <v/>
      </c>
      <c r="AN70" s="1196" t="str">
        <f t="shared" si="26"/>
        <v/>
      </c>
      <c r="BA70" s="1196" t="str">
        <f t="shared" si="27"/>
        <v/>
      </c>
    </row>
    <row r="71" spans="1:53" x14ac:dyDescent="0.35">
      <c r="A71" t="str">
        <f t="shared" si="20"/>
        <v>NO</v>
      </c>
      <c r="B71" t="str">
        <f t="shared" si="20"/>
        <v>NO</v>
      </c>
      <c r="C71" t="str">
        <f t="shared" si="19"/>
        <v>NO</v>
      </c>
      <c r="D71" t="str">
        <f t="shared" si="19"/>
        <v>NO</v>
      </c>
      <c r="E71" t="str">
        <f t="shared" si="19"/>
        <v>NO</v>
      </c>
      <c r="F71" t="str">
        <f t="shared" si="19"/>
        <v/>
      </c>
      <c r="H71" s="1196" t="str">
        <f t="shared" si="23"/>
        <v/>
      </c>
      <c r="Q71" t="str">
        <f t="shared" si="21"/>
        <v>NO</v>
      </c>
      <c r="R71" t="str">
        <f t="shared" si="21"/>
        <v>NO</v>
      </c>
      <c r="S71" t="str">
        <f t="shared" si="21"/>
        <v>NO</v>
      </c>
      <c r="T71" t="str">
        <f t="shared" si="21"/>
        <v>NO</v>
      </c>
      <c r="U71" t="str">
        <f t="shared" si="21"/>
        <v>NO</v>
      </c>
      <c r="V71" t="str">
        <f t="shared" si="21"/>
        <v/>
      </c>
      <c r="W71" t="str">
        <f t="shared" si="24"/>
        <v/>
      </c>
      <c r="X71" s="1196" t="str">
        <f t="shared" si="25"/>
        <v/>
      </c>
      <c r="AG71" t="str">
        <f t="shared" si="22"/>
        <v>NO</v>
      </c>
      <c r="AH71" t="str">
        <f t="shared" si="22"/>
        <v>NO</v>
      </c>
      <c r="AI71" t="str">
        <f t="shared" si="22"/>
        <v>NO</v>
      </c>
      <c r="AJ71" t="str">
        <f t="shared" si="22"/>
        <v>NO</v>
      </c>
      <c r="AK71" t="str">
        <f t="shared" si="22"/>
        <v>NO</v>
      </c>
      <c r="AL71" t="str">
        <f t="shared" si="22"/>
        <v/>
      </c>
      <c r="AN71" s="1196" t="str">
        <f t="shared" si="26"/>
        <v/>
      </c>
      <c r="BA71" s="1196" t="str">
        <f t="shared" si="27"/>
        <v/>
      </c>
    </row>
    <row r="72" spans="1:53" x14ac:dyDescent="0.35">
      <c r="A72" t="str">
        <f t="shared" si="20"/>
        <v>NO</v>
      </c>
      <c r="B72" t="str">
        <f t="shared" si="20"/>
        <v>NO</v>
      </c>
      <c r="C72" t="str">
        <f t="shared" si="19"/>
        <v>NO</v>
      </c>
      <c r="D72" t="str">
        <f t="shared" si="19"/>
        <v>NO</v>
      </c>
      <c r="E72" t="str">
        <f t="shared" si="19"/>
        <v>NO</v>
      </c>
      <c r="F72" t="str">
        <f t="shared" si="19"/>
        <v/>
      </c>
      <c r="H72" s="1196" t="str">
        <f t="shared" si="23"/>
        <v/>
      </c>
      <c r="Q72" t="str">
        <f t="shared" si="21"/>
        <v>NO</v>
      </c>
      <c r="R72" t="str">
        <f t="shared" si="21"/>
        <v>NO</v>
      </c>
      <c r="S72" t="str">
        <f t="shared" si="21"/>
        <v>NO</v>
      </c>
      <c r="T72" t="str">
        <f t="shared" si="21"/>
        <v>NO</v>
      </c>
      <c r="U72" t="str">
        <f t="shared" si="21"/>
        <v>NO</v>
      </c>
      <c r="V72" t="str">
        <f t="shared" si="21"/>
        <v/>
      </c>
      <c r="W72" t="str">
        <f t="shared" si="24"/>
        <v/>
      </c>
      <c r="X72" s="1196" t="str">
        <f t="shared" si="25"/>
        <v/>
      </c>
      <c r="AG72" t="str">
        <f t="shared" si="22"/>
        <v>NO</v>
      </c>
      <c r="AH72" t="str">
        <f t="shared" si="22"/>
        <v>NO</v>
      </c>
      <c r="AI72" t="str">
        <f t="shared" si="22"/>
        <v>NO</v>
      </c>
      <c r="AJ72" t="str">
        <f t="shared" si="22"/>
        <v>NO</v>
      </c>
      <c r="AK72" t="str">
        <f t="shared" si="22"/>
        <v>NO</v>
      </c>
      <c r="AL72" t="str">
        <f t="shared" si="22"/>
        <v/>
      </c>
      <c r="AN72" s="1196" t="str">
        <f t="shared" si="26"/>
        <v/>
      </c>
      <c r="BA72" s="1196" t="str">
        <f t="shared" si="27"/>
        <v/>
      </c>
    </row>
    <row r="73" spans="1:53" x14ac:dyDescent="0.35">
      <c r="A73" t="str">
        <f t="shared" si="20"/>
        <v>NO</v>
      </c>
      <c r="B73" t="str">
        <f t="shared" si="20"/>
        <v>NO</v>
      </c>
      <c r="C73" t="str">
        <f t="shared" si="19"/>
        <v>NO</v>
      </c>
      <c r="D73" t="str">
        <f t="shared" si="19"/>
        <v>NO</v>
      </c>
      <c r="E73" t="str">
        <f t="shared" si="19"/>
        <v>NO</v>
      </c>
      <c r="F73" t="str">
        <f t="shared" si="19"/>
        <v/>
      </c>
      <c r="H73" s="1196" t="str">
        <f t="shared" si="23"/>
        <v/>
      </c>
      <c r="Q73" t="str">
        <f t="shared" si="21"/>
        <v>NO</v>
      </c>
      <c r="R73" t="str">
        <f t="shared" si="21"/>
        <v>NO</v>
      </c>
      <c r="S73" t="str">
        <f t="shared" si="21"/>
        <v>NO</v>
      </c>
      <c r="T73" t="str">
        <f t="shared" si="21"/>
        <v>NO</v>
      </c>
      <c r="U73" t="str">
        <f t="shared" si="21"/>
        <v>NO</v>
      </c>
      <c r="V73" t="str">
        <f t="shared" si="21"/>
        <v/>
      </c>
      <c r="W73" t="str">
        <f t="shared" si="24"/>
        <v/>
      </c>
      <c r="X73" s="1196" t="str">
        <f t="shared" si="25"/>
        <v/>
      </c>
      <c r="AG73" t="str">
        <f t="shared" si="22"/>
        <v>NO</v>
      </c>
      <c r="AH73" t="str">
        <f t="shared" si="22"/>
        <v>NO</v>
      </c>
      <c r="AI73" t="str">
        <f t="shared" si="22"/>
        <v>NO</v>
      </c>
      <c r="AJ73" t="str">
        <f t="shared" si="22"/>
        <v>NO</v>
      </c>
      <c r="AK73" t="str">
        <f t="shared" si="22"/>
        <v>NO</v>
      </c>
      <c r="AL73" t="str">
        <f t="shared" si="22"/>
        <v/>
      </c>
      <c r="AN73" s="1196" t="str">
        <f t="shared" si="26"/>
        <v/>
      </c>
      <c r="BA73" s="1196" t="str">
        <f t="shared" si="27"/>
        <v/>
      </c>
    </row>
    <row r="74" spans="1:53" x14ac:dyDescent="0.35">
      <c r="A74" t="str">
        <f t="shared" si="20"/>
        <v>NO</v>
      </c>
      <c r="B74" t="str">
        <f t="shared" si="20"/>
        <v>NO</v>
      </c>
      <c r="C74" t="str">
        <f t="shared" si="19"/>
        <v>NO</v>
      </c>
      <c r="D74" t="str">
        <f t="shared" si="19"/>
        <v>NO</v>
      </c>
      <c r="E74" t="str">
        <f t="shared" si="19"/>
        <v>NO</v>
      </c>
      <c r="F74" t="str">
        <f t="shared" si="19"/>
        <v/>
      </c>
      <c r="H74" s="1196" t="str">
        <f t="shared" si="23"/>
        <v/>
      </c>
      <c r="Q74" t="str">
        <f t="shared" si="21"/>
        <v>NO</v>
      </c>
      <c r="R74" t="str">
        <f t="shared" si="21"/>
        <v>NO</v>
      </c>
      <c r="S74" t="str">
        <f t="shared" si="21"/>
        <v>NO</v>
      </c>
      <c r="T74" t="str">
        <f t="shared" si="21"/>
        <v>NO</v>
      </c>
      <c r="U74" t="str">
        <f t="shared" si="21"/>
        <v>NO</v>
      </c>
      <c r="V74" t="str">
        <f t="shared" si="21"/>
        <v/>
      </c>
      <c r="W74" t="str">
        <f t="shared" si="24"/>
        <v/>
      </c>
      <c r="X74" s="1196" t="str">
        <f t="shared" si="25"/>
        <v/>
      </c>
      <c r="AG74" t="str">
        <f t="shared" si="22"/>
        <v>NO</v>
      </c>
      <c r="AH74" t="str">
        <f t="shared" si="22"/>
        <v>NO</v>
      </c>
      <c r="AI74" t="str">
        <f t="shared" si="22"/>
        <v>NO</v>
      </c>
      <c r="AJ74" t="str">
        <f t="shared" si="22"/>
        <v>NO</v>
      </c>
      <c r="AK74" t="str">
        <f t="shared" si="22"/>
        <v>NO</v>
      </c>
      <c r="AL74" t="str">
        <f t="shared" si="22"/>
        <v/>
      </c>
      <c r="AN74" s="1196" t="str">
        <f t="shared" si="26"/>
        <v/>
      </c>
      <c r="BA74" s="1196" t="str">
        <f t="shared" si="27"/>
        <v/>
      </c>
    </row>
    <row r="75" spans="1:53" x14ac:dyDescent="0.35">
      <c r="A75" t="str">
        <f t="shared" si="20"/>
        <v>NO</v>
      </c>
      <c r="B75" t="str">
        <f t="shared" si="20"/>
        <v>NO</v>
      </c>
      <c r="C75" t="str">
        <f t="shared" si="19"/>
        <v>NO</v>
      </c>
      <c r="D75" t="str">
        <f t="shared" si="19"/>
        <v>NO</v>
      </c>
      <c r="E75" t="str">
        <f t="shared" si="19"/>
        <v>NO</v>
      </c>
      <c r="F75" t="str">
        <f t="shared" si="19"/>
        <v/>
      </c>
      <c r="H75" s="1196" t="str">
        <f t="shared" si="23"/>
        <v/>
      </c>
      <c r="Q75" t="str">
        <f t="shared" si="21"/>
        <v>NO</v>
      </c>
      <c r="R75" t="str">
        <f t="shared" si="21"/>
        <v>NO</v>
      </c>
      <c r="S75" t="str">
        <f t="shared" si="21"/>
        <v>NO</v>
      </c>
      <c r="T75" t="str">
        <f t="shared" si="21"/>
        <v>NO</v>
      </c>
      <c r="U75" t="str">
        <f t="shared" si="21"/>
        <v>NO</v>
      </c>
      <c r="V75" t="str">
        <f t="shared" si="21"/>
        <v/>
      </c>
      <c r="W75" t="str">
        <f t="shared" si="24"/>
        <v/>
      </c>
      <c r="X75" s="1196" t="str">
        <f t="shared" si="25"/>
        <v/>
      </c>
      <c r="AG75" t="str">
        <f t="shared" si="22"/>
        <v>NO</v>
      </c>
      <c r="AH75" t="str">
        <f t="shared" si="22"/>
        <v>NO</v>
      </c>
      <c r="AI75" t="str">
        <f t="shared" si="22"/>
        <v>NO</v>
      </c>
      <c r="AJ75" t="str">
        <f t="shared" si="22"/>
        <v>NO</v>
      </c>
      <c r="AK75" t="str">
        <f t="shared" si="22"/>
        <v>NO</v>
      </c>
      <c r="AL75" t="str">
        <f t="shared" si="22"/>
        <v/>
      </c>
      <c r="AN75" s="1196" t="str">
        <f t="shared" si="26"/>
        <v/>
      </c>
      <c r="BA75" s="1196" t="str">
        <f t="shared" si="27"/>
        <v/>
      </c>
    </row>
    <row r="76" spans="1:53" x14ac:dyDescent="0.35">
      <c r="A76" t="str">
        <f t="shared" si="20"/>
        <v>NO</v>
      </c>
      <c r="B76" t="str">
        <f t="shared" si="20"/>
        <v>NO</v>
      </c>
      <c r="C76" t="str">
        <f t="shared" si="19"/>
        <v>NO</v>
      </c>
      <c r="D76" t="str">
        <f t="shared" si="19"/>
        <v>NO</v>
      </c>
      <c r="E76" t="str">
        <f t="shared" si="19"/>
        <v>NO</v>
      </c>
      <c r="F76" t="str">
        <f t="shared" si="19"/>
        <v/>
      </c>
      <c r="H76" s="1196" t="str">
        <f t="shared" si="23"/>
        <v/>
      </c>
      <c r="Q76" t="str">
        <f t="shared" si="21"/>
        <v>NO</v>
      </c>
      <c r="R76" t="str">
        <f t="shared" si="21"/>
        <v>NO</v>
      </c>
      <c r="S76" t="str">
        <f t="shared" si="21"/>
        <v>NO</v>
      </c>
      <c r="T76" t="str">
        <f t="shared" si="21"/>
        <v>NO</v>
      </c>
      <c r="U76" t="str">
        <f t="shared" si="21"/>
        <v>NO</v>
      </c>
      <c r="V76" t="str">
        <f t="shared" si="21"/>
        <v/>
      </c>
      <c r="W76" t="str">
        <f t="shared" si="24"/>
        <v/>
      </c>
      <c r="X76" s="1196" t="str">
        <f t="shared" si="25"/>
        <v/>
      </c>
      <c r="AG76" t="str">
        <f t="shared" si="22"/>
        <v>NO</v>
      </c>
      <c r="AH76" t="str">
        <f t="shared" si="22"/>
        <v>NO</v>
      </c>
      <c r="AI76" t="str">
        <f t="shared" si="22"/>
        <v>NO</v>
      </c>
      <c r="AJ76" t="str">
        <f t="shared" si="22"/>
        <v>NO</v>
      </c>
      <c r="AK76" t="str">
        <f t="shared" si="22"/>
        <v>NO</v>
      </c>
      <c r="AL76" t="str">
        <f t="shared" si="22"/>
        <v/>
      </c>
      <c r="AN76" s="1196" t="str">
        <f t="shared" si="26"/>
        <v/>
      </c>
      <c r="BA76" s="1196" t="str">
        <f t="shared" si="27"/>
        <v/>
      </c>
    </row>
    <row r="77" spans="1:53" x14ac:dyDescent="0.35">
      <c r="A77" t="str">
        <f t="shared" si="20"/>
        <v>NO</v>
      </c>
      <c r="B77" t="str">
        <f t="shared" si="20"/>
        <v>NO</v>
      </c>
      <c r="C77" t="str">
        <f t="shared" si="19"/>
        <v>NO</v>
      </c>
      <c r="D77" t="str">
        <f t="shared" si="19"/>
        <v>NO</v>
      </c>
      <c r="E77" t="str">
        <f t="shared" si="19"/>
        <v>NO</v>
      </c>
      <c r="F77" t="str">
        <f t="shared" si="19"/>
        <v/>
      </c>
      <c r="H77" s="1196" t="str">
        <f t="shared" si="23"/>
        <v/>
      </c>
      <c r="Q77" t="str">
        <f t="shared" si="21"/>
        <v>NO</v>
      </c>
      <c r="R77" t="str">
        <f t="shared" si="21"/>
        <v>NO</v>
      </c>
      <c r="S77" t="str">
        <f t="shared" si="21"/>
        <v>NO</v>
      </c>
      <c r="T77" t="str">
        <f t="shared" si="21"/>
        <v>NO</v>
      </c>
      <c r="U77" t="str">
        <f t="shared" si="21"/>
        <v>NO</v>
      </c>
      <c r="V77" t="str">
        <f t="shared" si="21"/>
        <v/>
      </c>
      <c r="W77" t="str">
        <f t="shared" si="24"/>
        <v/>
      </c>
      <c r="X77" s="1196" t="str">
        <f t="shared" si="25"/>
        <v/>
      </c>
      <c r="AG77" t="str">
        <f t="shared" si="22"/>
        <v>NO</v>
      </c>
      <c r="AH77" t="str">
        <f t="shared" si="22"/>
        <v>NO</v>
      </c>
      <c r="AI77" t="str">
        <f t="shared" si="22"/>
        <v>NO</v>
      </c>
      <c r="AJ77" t="str">
        <f t="shared" si="22"/>
        <v>NO</v>
      </c>
      <c r="AK77" t="str">
        <f t="shared" si="22"/>
        <v>NO</v>
      </c>
      <c r="AL77" t="str">
        <f t="shared" si="22"/>
        <v/>
      </c>
      <c r="AN77" s="1196" t="str">
        <f t="shared" si="26"/>
        <v/>
      </c>
      <c r="BA77" s="1196" t="str">
        <f t="shared" si="27"/>
        <v/>
      </c>
    </row>
    <row r="78" spans="1:53" x14ac:dyDescent="0.35">
      <c r="A78" t="str">
        <f t="shared" si="20"/>
        <v>NO</v>
      </c>
      <c r="B78" t="str">
        <f t="shared" si="20"/>
        <v>NO</v>
      </c>
      <c r="C78" t="str">
        <f t="shared" si="19"/>
        <v>NO</v>
      </c>
      <c r="D78" t="str">
        <f t="shared" si="19"/>
        <v>NO</v>
      </c>
      <c r="E78" t="str">
        <f t="shared" si="19"/>
        <v>NO</v>
      </c>
      <c r="F78" t="str">
        <f t="shared" si="19"/>
        <v/>
      </c>
      <c r="H78" s="1196" t="str">
        <f t="shared" si="23"/>
        <v/>
      </c>
      <c r="Q78" t="str">
        <f t="shared" si="21"/>
        <v>NO</v>
      </c>
      <c r="R78" t="str">
        <f t="shared" si="21"/>
        <v>NO</v>
      </c>
      <c r="S78" t="str">
        <f t="shared" si="21"/>
        <v>NO</v>
      </c>
      <c r="T78" t="str">
        <f t="shared" si="21"/>
        <v>NO</v>
      </c>
      <c r="U78" t="str">
        <f t="shared" si="21"/>
        <v>NO</v>
      </c>
      <c r="V78" t="str">
        <f t="shared" si="21"/>
        <v/>
      </c>
      <c r="W78" t="str">
        <f t="shared" si="24"/>
        <v/>
      </c>
      <c r="X78" s="1196" t="str">
        <f t="shared" si="25"/>
        <v/>
      </c>
      <c r="AG78" t="str">
        <f t="shared" si="22"/>
        <v>NO</v>
      </c>
      <c r="AH78" t="str">
        <f t="shared" si="22"/>
        <v>NO</v>
      </c>
      <c r="AI78" t="str">
        <f t="shared" si="22"/>
        <v>NO</v>
      </c>
      <c r="AJ78" t="str">
        <f t="shared" si="22"/>
        <v>NO</v>
      </c>
      <c r="AK78" t="str">
        <f t="shared" si="22"/>
        <v>NO</v>
      </c>
      <c r="AL78" t="str">
        <f t="shared" si="22"/>
        <v/>
      </c>
      <c r="AN78" s="1196" t="str">
        <f t="shared" si="26"/>
        <v/>
      </c>
      <c r="BA78" s="1196" t="str">
        <f t="shared" si="27"/>
        <v/>
      </c>
    </row>
    <row r="79" spans="1:53" x14ac:dyDescent="0.35">
      <c r="A79" t="str">
        <f t="shared" si="20"/>
        <v>NO</v>
      </c>
      <c r="B79" t="str">
        <f t="shared" si="20"/>
        <v>NO</v>
      </c>
      <c r="C79" t="str">
        <f t="shared" si="19"/>
        <v>NO</v>
      </c>
      <c r="D79" t="str">
        <f t="shared" si="19"/>
        <v>NO</v>
      </c>
      <c r="E79" t="str">
        <f t="shared" si="19"/>
        <v>NO</v>
      </c>
      <c r="F79" t="str">
        <f t="shared" si="19"/>
        <v/>
      </c>
      <c r="H79" s="1196" t="str">
        <f t="shared" si="23"/>
        <v/>
      </c>
      <c r="Q79" t="str">
        <f t="shared" si="21"/>
        <v>NO</v>
      </c>
      <c r="R79" t="str">
        <f t="shared" si="21"/>
        <v>NO</v>
      </c>
      <c r="S79" t="str">
        <f t="shared" si="21"/>
        <v>NO</v>
      </c>
      <c r="T79" t="str">
        <f t="shared" si="21"/>
        <v>NO</v>
      </c>
      <c r="U79" t="str">
        <f t="shared" si="21"/>
        <v>NO</v>
      </c>
      <c r="V79" t="str">
        <f t="shared" si="21"/>
        <v/>
      </c>
      <c r="W79" t="str">
        <f t="shared" si="24"/>
        <v/>
      </c>
      <c r="X79" s="1196" t="str">
        <f t="shared" si="25"/>
        <v/>
      </c>
      <c r="AG79" t="str">
        <f t="shared" si="22"/>
        <v>NO</v>
      </c>
      <c r="AH79" t="str">
        <f t="shared" si="22"/>
        <v>NO</v>
      </c>
      <c r="AI79" t="str">
        <f t="shared" si="22"/>
        <v>NO</v>
      </c>
      <c r="AJ79" t="str">
        <f t="shared" si="22"/>
        <v>NO</v>
      </c>
      <c r="AK79" t="str">
        <f t="shared" si="22"/>
        <v>NO</v>
      </c>
      <c r="AL79" t="str">
        <f t="shared" si="22"/>
        <v/>
      </c>
      <c r="AN79" s="1196" t="str">
        <f t="shared" si="26"/>
        <v/>
      </c>
      <c r="BA79" s="1196" t="str">
        <f t="shared" si="27"/>
        <v/>
      </c>
    </row>
    <row r="80" spans="1:53" x14ac:dyDescent="0.35">
      <c r="A80" t="str">
        <f t="shared" si="20"/>
        <v>NO</v>
      </c>
      <c r="B80" t="str">
        <f t="shared" si="20"/>
        <v>NO</v>
      </c>
      <c r="C80" t="str">
        <f t="shared" si="19"/>
        <v>NO</v>
      </c>
      <c r="D80" t="str">
        <f t="shared" si="19"/>
        <v>NO</v>
      </c>
      <c r="E80" t="str">
        <f t="shared" si="19"/>
        <v>NO</v>
      </c>
      <c r="F80" t="str">
        <f t="shared" si="19"/>
        <v/>
      </c>
      <c r="H80" s="1196" t="str">
        <f t="shared" si="23"/>
        <v/>
      </c>
      <c r="Q80" t="str">
        <f t="shared" si="21"/>
        <v>NO</v>
      </c>
      <c r="R80" t="str">
        <f t="shared" si="21"/>
        <v>NO</v>
      </c>
      <c r="S80" t="str">
        <f t="shared" si="21"/>
        <v>NO</v>
      </c>
      <c r="T80" t="str">
        <f t="shared" si="21"/>
        <v>NO</v>
      </c>
      <c r="U80" t="str">
        <f t="shared" si="21"/>
        <v>NO</v>
      </c>
      <c r="V80" t="str">
        <f t="shared" si="21"/>
        <v/>
      </c>
      <c r="W80" t="str">
        <f t="shared" si="24"/>
        <v/>
      </c>
      <c r="X80" s="1196" t="str">
        <f t="shared" si="25"/>
        <v/>
      </c>
      <c r="AG80" t="str">
        <f t="shared" si="22"/>
        <v>NO</v>
      </c>
      <c r="AH80" t="str">
        <f t="shared" si="22"/>
        <v>NO</v>
      </c>
      <c r="AI80" t="str">
        <f t="shared" si="22"/>
        <v>NO</v>
      </c>
      <c r="AJ80" t="str">
        <f t="shared" si="22"/>
        <v>NO</v>
      </c>
      <c r="AK80" t="str">
        <f t="shared" si="22"/>
        <v>NO</v>
      </c>
      <c r="AL80" t="str">
        <f t="shared" si="22"/>
        <v/>
      </c>
      <c r="AN80" s="1196" t="str">
        <f t="shared" si="26"/>
        <v/>
      </c>
      <c r="BA80" s="1196" t="str">
        <f t="shared" si="27"/>
        <v/>
      </c>
    </row>
    <row r="81" spans="1:53" x14ac:dyDescent="0.35">
      <c r="A81" t="str">
        <f t="shared" si="20"/>
        <v>NO</v>
      </c>
      <c r="B81" t="str">
        <f t="shared" si="20"/>
        <v>NO</v>
      </c>
      <c r="C81" t="str">
        <f t="shared" si="19"/>
        <v>NO</v>
      </c>
      <c r="D81" t="str">
        <f t="shared" si="19"/>
        <v>NO</v>
      </c>
      <c r="E81" t="str">
        <f t="shared" si="19"/>
        <v>NO</v>
      </c>
      <c r="F81" t="str">
        <f t="shared" si="19"/>
        <v/>
      </c>
      <c r="H81" s="1196" t="str">
        <f t="shared" si="23"/>
        <v/>
      </c>
      <c r="Q81" t="str">
        <f t="shared" si="21"/>
        <v>NO</v>
      </c>
      <c r="R81" t="str">
        <f t="shared" si="21"/>
        <v>NO</v>
      </c>
      <c r="S81" t="str">
        <f t="shared" si="21"/>
        <v>NO</v>
      </c>
      <c r="T81" t="str">
        <f t="shared" si="21"/>
        <v>NO</v>
      </c>
      <c r="U81" t="str">
        <f t="shared" si="21"/>
        <v>NO</v>
      </c>
      <c r="V81" t="str">
        <f t="shared" si="21"/>
        <v/>
      </c>
      <c r="W81" t="str">
        <f t="shared" si="24"/>
        <v/>
      </c>
      <c r="X81" s="1196" t="str">
        <f t="shared" si="25"/>
        <v/>
      </c>
      <c r="AG81" t="str">
        <f t="shared" si="22"/>
        <v>NO</v>
      </c>
      <c r="AH81" t="str">
        <f t="shared" si="22"/>
        <v>NO</v>
      </c>
      <c r="AI81" t="str">
        <f t="shared" si="22"/>
        <v>NO</v>
      </c>
      <c r="AJ81" t="str">
        <f t="shared" si="22"/>
        <v>NO</v>
      </c>
      <c r="AK81" t="str">
        <f t="shared" si="22"/>
        <v>NO</v>
      </c>
      <c r="AL81" t="str">
        <f t="shared" si="22"/>
        <v/>
      </c>
      <c r="AN81" s="1196" t="str">
        <f t="shared" si="26"/>
        <v/>
      </c>
      <c r="BA81" s="1196" t="str">
        <f t="shared" si="27"/>
        <v/>
      </c>
    </row>
    <row r="82" spans="1:53" x14ac:dyDescent="0.35">
      <c r="A82" t="str">
        <f t="shared" si="20"/>
        <v>NO</v>
      </c>
      <c r="B82" t="str">
        <f t="shared" si="20"/>
        <v>NO</v>
      </c>
      <c r="C82" t="str">
        <f t="shared" si="19"/>
        <v>NO</v>
      </c>
      <c r="D82" t="str">
        <f t="shared" si="19"/>
        <v>NO</v>
      </c>
      <c r="E82" t="str">
        <f t="shared" si="19"/>
        <v>NO</v>
      </c>
      <c r="F82" t="str">
        <f t="shared" si="19"/>
        <v/>
      </c>
      <c r="H82" s="1196" t="str">
        <f t="shared" si="23"/>
        <v/>
      </c>
      <c r="Q82" t="str">
        <f t="shared" si="21"/>
        <v>NO</v>
      </c>
      <c r="R82" t="str">
        <f t="shared" si="21"/>
        <v>NO</v>
      </c>
      <c r="S82" t="str">
        <f t="shared" si="21"/>
        <v>NO</v>
      </c>
      <c r="T82" t="str">
        <f t="shared" si="21"/>
        <v>NO</v>
      </c>
      <c r="U82" t="str">
        <f t="shared" si="21"/>
        <v>NO</v>
      </c>
      <c r="V82" t="str">
        <f t="shared" si="21"/>
        <v/>
      </c>
      <c r="W82" t="str">
        <f t="shared" si="24"/>
        <v/>
      </c>
      <c r="X82" s="1196" t="str">
        <f t="shared" si="25"/>
        <v/>
      </c>
      <c r="AG82" t="str">
        <f t="shared" si="22"/>
        <v>NO</v>
      </c>
      <c r="AH82" t="str">
        <f t="shared" si="22"/>
        <v>NO</v>
      </c>
      <c r="AI82" t="str">
        <f t="shared" si="22"/>
        <v>NO</v>
      </c>
      <c r="AJ82" t="str">
        <f t="shared" si="22"/>
        <v>NO</v>
      </c>
      <c r="AK82" t="str">
        <f t="shared" si="22"/>
        <v>NO</v>
      </c>
      <c r="AL82" t="str">
        <f t="shared" si="22"/>
        <v/>
      </c>
      <c r="AN82" s="1196" t="str">
        <f t="shared" si="26"/>
        <v/>
      </c>
      <c r="BA82" s="1196" t="str">
        <f t="shared" si="27"/>
        <v/>
      </c>
    </row>
    <row r="83" spans="1:53" x14ac:dyDescent="0.35">
      <c r="A83" t="str">
        <f t="shared" si="20"/>
        <v>NO</v>
      </c>
      <c r="B83" t="str">
        <f t="shared" si="20"/>
        <v>NO</v>
      </c>
      <c r="C83" t="str">
        <f t="shared" si="19"/>
        <v>NO</v>
      </c>
      <c r="D83" t="str">
        <f t="shared" si="19"/>
        <v>NO</v>
      </c>
      <c r="E83" t="str">
        <f t="shared" si="19"/>
        <v>NO</v>
      </c>
      <c r="F83" t="str">
        <f t="shared" si="19"/>
        <v/>
      </c>
      <c r="H83" s="1196" t="str">
        <f t="shared" si="23"/>
        <v/>
      </c>
      <c r="Q83" t="str">
        <f t="shared" si="21"/>
        <v>NO</v>
      </c>
      <c r="R83" t="str">
        <f t="shared" si="21"/>
        <v>NO</v>
      </c>
      <c r="S83" t="str">
        <f t="shared" si="21"/>
        <v>NO</v>
      </c>
      <c r="T83" t="str">
        <f t="shared" si="21"/>
        <v>NO</v>
      </c>
      <c r="U83" t="str">
        <f t="shared" si="21"/>
        <v>NO</v>
      </c>
      <c r="V83" t="str">
        <f t="shared" si="21"/>
        <v/>
      </c>
      <c r="W83" t="str">
        <f t="shared" si="24"/>
        <v/>
      </c>
      <c r="X83" s="1196" t="str">
        <f t="shared" si="25"/>
        <v/>
      </c>
      <c r="AG83" t="str">
        <f t="shared" si="22"/>
        <v>NO</v>
      </c>
      <c r="AH83" t="str">
        <f t="shared" si="22"/>
        <v>NO</v>
      </c>
      <c r="AI83" t="str">
        <f t="shared" si="22"/>
        <v>NO</v>
      </c>
      <c r="AJ83" t="str">
        <f t="shared" si="22"/>
        <v>NO</v>
      </c>
      <c r="AK83" t="str">
        <f t="shared" si="22"/>
        <v>NO</v>
      </c>
      <c r="AL83" t="str">
        <f t="shared" si="22"/>
        <v/>
      </c>
      <c r="AN83" s="1196" t="str">
        <f t="shared" si="26"/>
        <v/>
      </c>
      <c r="BA83" s="1196" t="str">
        <f t="shared" si="27"/>
        <v/>
      </c>
    </row>
    <row r="84" spans="1:53" x14ac:dyDescent="0.35">
      <c r="A84" t="str">
        <f t="shared" si="20"/>
        <v>NO</v>
      </c>
      <c r="B84" t="str">
        <f t="shared" si="20"/>
        <v>NO</v>
      </c>
      <c r="C84" t="str">
        <f t="shared" si="19"/>
        <v>NO</v>
      </c>
      <c r="D84" t="str">
        <f t="shared" si="19"/>
        <v>NO</v>
      </c>
      <c r="E84" t="str">
        <f t="shared" si="19"/>
        <v>NO</v>
      </c>
      <c r="F84" t="str">
        <f t="shared" si="19"/>
        <v/>
      </c>
      <c r="H84" s="1196" t="str">
        <f t="shared" si="23"/>
        <v/>
      </c>
      <c r="Q84" t="str">
        <f t="shared" si="21"/>
        <v>NO</v>
      </c>
      <c r="R84" t="str">
        <f t="shared" si="21"/>
        <v>NO</v>
      </c>
      <c r="S84" t="str">
        <f t="shared" si="21"/>
        <v>NO</v>
      </c>
      <c r="T84" t="str">
        <f t="shared" si="21"/>
        <v>NO</v>
      </c>
      <c r="U84" t="str">
        <f t="shared" si="21"/>
        <v>NO</v>
      </c>
      <c r="V84" t="str">
        <f t="shared" si="21"/>
        <v/>
      </c>
      <c r="W84" t="str">
        <f t="shared" si="24"/>
        <v/>
      </c>
      <c r="X84" s="1196" t="str">
        <f t="shared" si="25"/>
        <v/>
      </c>
      <c r="AG84" t="str">
        <f t="shared" si="22"/>
        <v>NO</v>
      </c>
      <c r="AH84" t="str">
        <f t="shared" si="22"/>
        <v>NO</v>
      </c>
      <c r="AI84" t="str">
        <f t="shared" si="22"/>
        <v>NO</v>
      </c>
      <c r="AJ84" t="str">
        <f t="shared" si="22"/>
        <v>NO</v>
      </c>
      <c r="AK84" t="str">
        <f t="shared" si="22"/>
        <v>NO</v>
      </c>
      <c r="AL84" t="str">
        <f t="shared" si="22"/>
        <v/>
      </c>
      <c r="AN84" s="1196" t="str">
        <f t="shared" si="26"/>
        <v/>
      </c>
      <c r="BA84" s="1196" t="str">
        <f t="shared" si="27"/>
        <v/>
      </c>
    </row>
    <row r="85" spans="1:53" x14ac:dyDescent="0.35">
      <c r="A85" t="str">
        <f t="shared" si="20"/>
        <v>NO</v>
      </c>
      <c r="B85" t="str">
        <f t="shared" si="20"/>
        <v>NO</v>
      </c>
      <c r="C85" t="str">
        <f t="shared" si="19"/>
        <v>NO</v>
      </c>
      <c r="D85" t="str">
        <f t="shared" si="19"/>
        <v>NO</v>
      </c>
      <c r="E85" t="str">
        <f t="shared" si="19"/>
        <v>NO</v>
      </c>
      <c r="F85" t="str">
        <f t="shared" si="19"/>
        <v/>
      </c>
      <c r="H85" s="1196" t="str">
        <f t="shared" si="23"/>
        <v/>
      </c>
      <c r="Q85" t="str">
        <f t="shared" si="21"/>
        <v>NO</v>
      </c>
      <c r="R85" t="str">
        <f t="shared" si="21"/>
        <v>NO</v>
      </c>
      <c r="S85" t="str">
        <f t="shared" si="21"/>
        <v>NO</v>
      </c>
      <c r="T85" t="str">
        <f t="shared" si="21"/>
        <v>NO</v>
      </c>
      <c r="U85" t="str">
        <f t="shared" si="21"/>
        <v>NO</v>
      </c>
      <c r="V85" t="str">
        <f t="shared" si="21"/>
        <v/>
      </c>
      <c r="W85" t="str">
        <f t="shared" si="24"/>
        <v/>
      </c>
      <c r="X85" s="1196" t="str">
        <f t="shared" si="25"/>
        <v/>
      </c>
      <c r="AG85" t="str">
        <f t="shared" si="22"/>
        <v>NO</v>
      </c>
      <c r="AH85" t="str">
        <f t="shared" si="22"/>
        <v>NO</v>
      </c>
      <c r="AI85" t="str">
        <f t="shared" si="22"/>
        <v>NO</v>
      </c>
      <c r="AJ85" t="str">
        <f t="shared" si="22"/>
        <v>NO</v>
      </c>
      <c r="AK85" t="str">
        <f t="shared" si="22"/>
        <v>NO</v>
      </c>
      <c r="AL85" t="str">
        <f t="shared" si="22"/>
        <v/>
      </c>
      <c r="AN85" s="1196" t="str">
        <f t="shared" si="26"/>
        <v/>
      </c>
      <c r="BA85" s="1196" t="str">
        <f t="shared" si="27"/>
        <v/>
      </c>
    </row>
    <row r="86" spans="1:53" x14ac:dyDescent="0.35">
      <c r="A86" t="str">
        <f t="shared" si="20"/>
        <v>NO</v>
      </c>
      <c r="B86" t="str">
        <f t="shared" si="20"/>
        <v>NO</v>
      </c>
      <c r="C86" t="str">
        <f t="shared" si="19"/>
        <v>NO</v>
      </c>
      <c r="D86" t="str">
        <f t="shared" si="19"/>
        <v>NO</v>
      </c>
      <c r="E86" t="str">
        <f t="shared" si="19"/>
        <v>NO</v>
      </c>
      <c r="F86" t="str">
        <f t="shared" si="19"/>
        <v/>
      </c>
      <c r="H86" s="1196" t="str">
        <f t="shared" si="23"/>
        <v/>
      </c>
      <c r="Q86" t="str">
        <f t="shared" si="21"/>
        <v>NO</v>
      </c>
      <c r="R86" t="str">
        <f t="shared" si="21"/>
        <v>NO</v>
      </c>
      <c r="S86" t="str">
        <f t="shared" si="21"/>
        <v>NO</v>
      </c>
      <c r="T86" t="str">
        <f t="shared" si="21"/>
        <v>NO</v>
      </c>
      <c r="U86" t="str">
        <f t="shared" si="21"/>
        <v>NO</v>
      </c>
      <c r="V86" t="str">
        <f t="shared" si="21"/>
        <v/>
      </c>
      <c r="W86" t="str">
        <f t="shared" si="24"/>
        <v/>
      </c>
      <c r="X86" s="1196" t="str">
        <f t="shared" si="25"/>
        <v/>
      </c>
      <c r="AG86" t="str">
        <f t="shared" si="22"/>
        <v>NO</v>
      </c>
      <c r="AH86" t="str">
        <f t="shared" si="22"/>
        <v>NO</v>
      </c>
      <c r="AI86" t="str">
        <f t="shared" si="22"/>
        <v>NO</v>
      </c>
      <c r="AJ86" t="str">
        <f t="shared" si="22"/>
        <v>NO</v>
      </c>
      <c r="AK86" t="str">
        <f t="shared" si="22"/>
        <v>NO</v>
      </c>
      <c r="AL86" t="str">
        <f t="shared" si="22"/>
        <v/>
      </c>
      <c r="AN86" s="1196" t="str">
        <f t="shared" si="26"/>
        <v/>
      </c>
      <c r="BA86" s="1196" t="str">
        <f t="shared" si="27"/>
        <v/>
      </c>
    </row>
    <row r="87" spans="1:53" x14ac:dyDescent="0.35">
      <c r="A87" t="str">
        <f t="shared" si="20"/>
        <v>NO</v>
      </c>
      <c r="B87" t="str">
        <f t="shared" si="20"/>
        <v>NO</v>
      </c>
      <c r="C87" t="str">
        <f t="shared" si="19"/>
        <v>NO</v>
      </c>
      <c r="D87" t="str">
        <f t="shared" si="19"/>
        <v>NO</v>
      </c>
      <c r="E87" t="str">
        <f t="shared" si="19"/>
        <v>NO</v>
      </c>
      <c r="F87" t="str">
        <f t="shared" si="19"/>
        <v/>
      </c>
      <c r="H87" s="1196" t="str">
        <f t="shared" si="23"/>
        <v/>
      </c>
      <c r="Q87" t="str">
        <f t="shared" si="21"/>
        <v>NO</v>
      </c>
      <c r="R87" t="str">
        <f t="shared" si="21"/>
        <v>NO</v>
      </c>
      <c r="S87" t="str">
        <f t="shared" si="21"/>
        <v>NO</v>
      </c>
      <c r="T87" t="str">
        <f t="shared" si="21"/>
        <v>NO</v>
      </c>
      <c r="U87" t="str">
        <f t="shared" si="21"/>
        <v>NO</v>
      </c>
      <c r="V87" t="str">
        <f t="shared" si="21"/>
        <v/>
      </c>
      <c r="W87" t="str">
        <f t="shared" si="24"/>
        <v/>
      </c>
      <c r="X87" s="1196" t="str">
        <f t="shared" si="25"/>
        <v/>
      </c>
      <c r="AG87" t="str">
        <f t="shared" si="22"/>
        <v>NO</v>
      </c>
      <c r="AH87" t="str">
        <f t="shared" si="22"/>
        <v>NO</v>
      </c>
      <c r="AI87" t="str">
        <f t="shared" si="22"/>
        <v>NO</v>
      </c>
      <c r="AJ87" t="str">
        <f t="shared" si="22"/>
        <v>NO</v>
      </c>
      <c r="AK87" t="str">
        <f t="shared" si="22"/>
        <v>NO</v>
      </c>
      <c r="AL87" t="str">
        <f t="shared" si="22"/>
        <v/>
      </c>
      <c r="AN87" s="1196" t="str">
        <f t="shared" si="26"/>
        <v/>
      </c>
      <c r="BA87" s="1196" t="str">
        <f t="shared" si="27"/>
        <v/>
      </c>
    </row>
    <row r="88" spans="1:53" x14ac:dyDescent="0.35">
      <c r="A88" t="str">
        <f t="shared" si="20"/>
        <v>NO</v>
      </c>
      <c r="B88" t="str">
        <f t="shared" si="20"/>
        <v>NO</v>
      </c>
      <c r="C88" t="str">
        <f t="shared" si="19"/>
        <v>NO</v>
      </c>
      <c r="D88" t="str">
        <f t="shared" si="19"/>
        <v>NO</v>
      </c>
      <c r="E88" t="str">
        <f t="shared" si="19"/>
        <v>NO</v>
      </c>
      <c r="F88" t="str">
        <f t="shared" si="19"/>
        <v/>
      </c>
      <c r="H88" s="1196" t="str">
        <f t="shared" si="23"/>
        <v/>
      </c>
      <c r="Q88" t="str">
        <f t="shared" si="21"/>
        <v>NO</v>
      </c>
      <c r="R88" t="str">
        <f t="shared" si="21"/>
        <v>NO</v>
      </c>
      <c r="S88" t="str">
        <f t="shared" si="21"/>
        <v>NO</v>
      </c>
      <c r="T88" t="str">
        <f t="shared" si="21"/>
        <v>NO</v>
      </c>
      <c r="U88" t="str">
        <f t="shared" si="21"/>
        <v>NO</v>
      </c>
      <c r="V88" t="str">
        <f t="shared" si="21"/>
        <v/>
      </c>
      <c r="W88" t="str">
        <f t="shared" si="24"/>
        <v/>
      </c>
      <c r="X88" s="1196" t="str">
        <f t="shared" si="25"/>
        <v/>
      </c>
      <c r="AG88" t="str">
        <f t="shared" si="22"/>
        <v>NO</v>
      </c>
      <c r="AH88" t="str">
        <f t="shared" si="22"/>
        <v>NO</v>
      </c>
      <c r="AI88" t="str">
        <f t="shared" si="22"/>
        <v>NO</v>
      </c>
      <c r="AJ88" t="str">
        <f t="shared" si="22"/>
        <v>NO</v>
      </c>
      <c r="AK88" t="str">
        <f t="shared" si="22"/>
        <v>NO</v>
      </c>
      <c r="AL88" t="str">
        <f t="shared" si="22"/>
        <v/>
      </c>
      <c r="AN88" s="1196" t="str">
        <f t="shared" si="26"/>
        <v/>
      </c>
      <c r="BA88" s="1196" t="str">
        <f t="shared" si="27"/>
        <v/>
      </c>
    </row>
    <row r="89" spans="1:53" x14ac:dyDescent="0.35">
      <c r="A89" t="str">
        <f t="shared" si="20"/>
        <v>NO</v>
      </c>
      <c r="B89" t="str">
        <f t="shared" si="20"/>
        <v>NO</v>
      </c>
      <c r="C89" t="str">
        <f t="shared" si="19"/>
        <v>NO</v>
      </c>
      <c r="D89" t="str">
        <f t="shared" si="19"/>
        <v>NO</v>
      </c>
      <c r="E89" t="str">
        <f t="shared" si="19"/>
        <v>NO</v>
      </c>
      <c r="F89" t="str">
        <f t="shared" si="19"/>
        <v/>
      </c>
      <c r="H89" s="1196" t="str">
        <f t="shared" si="23"/>
        <v/>
      </c>
      <c r="Q89" t="str">
        <f t="shared" si="21"/>
        <v>NO</v>
      </c>
      <c r="R89" t="str">
        <f t="shared" si="21"/>
        <v>NO</v>
      </c>
      <c r="S89" t="str">
        <f t="shared" si="21"/>
        <v>NO</v>
      </c>
      <c r="T89" t="str">
        <f t="shared" si="21"/>
        <v>NO</v>
      </c>
      <c r="U89" t="str">
        <f t="shared" si="21"/>
        <v>NO</v>
      </c>
      <c r="V89" t="str">
        <f t="shared" si="21"/>
        <v/>
      </c>
      <c r="W89" t="str">
        <f t="shared" si="24"/>
        <v/>
      </c>
      <c r="X89" s="1196" t="str">
        <f t="shared" si="25"/>
        <v/>
      </c>
      <c r="AG89" t="str">
        <f t="shared" si="22"/>
        <v>NO</v>
      </c>
      <c r="AH89" t="str">
        <f t="shared" si="22"/>
        <v>NO</v>
      </c>
      <c r="AI89" t="str">
        <f t="shared" si="22"/>
        <v>NO</v>
      </c>
      <c r="AJ89" t="str">
        <f t="shared" si="22"/>
        <v>NO</v>
      </c>
      <c r="AK89" t="str">
        <f t="shared" si="22"/>
        <v>NO</v>
      </c>
      <c r="AL89" t="str">
        <f t="shared" si="22"/>
        <v/>
      </c>
      <c r="AN89" s="1196" t="str">
        <f t="shared" si="26"/>
        <v/>
      </c>
      <c r="BA89" s="1196" t="str">
        <f t="shared" si="27"/>
        <v/>
      </c>
    </row>
    <row r="90" spans="1:53" x14ac:dyDescent="0.35">
      <c r="A90" t="str">
        <f t="shared" si="20"/>
        <v>NO</v>
      </c>
      <c r="B90" t="str">
        <f t="shared" si="20"/>
        <v>NO</v>
      </c>
      <c r="C90" t="str">
        <f t="shared" si="19"/>
        <v>NO</v>
      </c>
      <c r="D90" t="str">
        <f t="shared" si="19"/>
        <v>NO</v>
      </c>
      <c r="E90" t="str">
        <f t="shared" si="19"/>
        <v>NO</v>
      </c>
      <c r="F90" t="str">
        <f t="shared" si="19"/>
        <v/>
      </c>
      <c r="H90" s="1196" t="str">
        <f t="shared" si="23"/>
        <v/>
      </c>
      <c r="Q90" t="str">
        <f t="shared" si="21"/>
        <v>NO</v>
      </c>
      <c r="R90" t="str">
        <f t="shared" si="21"/>
        <v>NO</v>
      </c>
      <c r="S90" t="str">
        <f t="shared" si="21"/>
        <v>NO</v>
      </c>
      <c r="T90" t="str">
        <f t="shared" si="21"/>
        <v>NO</v>
      </c>
      <c r="U90" t="str">
        <f t="shared" si="21"/>
        <v>NO</v>
      </c>
      <c r="V90" t="str">
        <f t="shared" si="21"/>
        <v/>
      </c>
      <c r="W90" t="str">
        <f t="shared" si="24"/>
        <v/>
      </c>
      <c r="X90" s="1196" t="str">
        <f t="shared" si="25"/>
        <v/>
      </c>
      <c r="AG90" t="str">
        <f t="shared" si="22"/>
        <v>NO</v>
      </c>
      <c r="AH90" t="str">
        <f t="shared" si="22"/>
        <v>NO</v>
      </c>
      <c r="AI90" t="str">
        <f t="shared" si="22"/>
        <v>NO</v>
      </c>
      <c r="AJ90" t="str">
        <f t="shared" si="22"/>
        <v>NO</v>
      </c>
      <c r="AK90" t="str">
        <f t="shared" si="22"/>
        <v>NO</v>
      </c>
      <c r="AL90" t="str">
        <f t="shared" si="22"/>
        <v/>
      </c>
      <c r="AN90" s="1196" t="str">
        <f t="shared" si="26"/>
        <v/>
      </c>
      <c r="BA90" s="1196" t="str">
        <f t="shared" si="27"/>
        <v/>
      </c>
    </row>
    <row r="91" spans="1:53" x14ac:dyDescent="0.35">
      <c r="A91" t="str">
        <f t="shared" si="20"/>
        <v>NO</v>
      </c>
      <c r="B91" t="str">
        <f t="shared" si="20"/>
        <v>NO</v>
      </c>
      <c r="C91" t="str">
        <f t="shared" si="19"/>
        <v>NO</v>
      </c>
      <c r="D91" t="str">
        <f t="shared" si="19"/>
        <v>NO</v>
      </c>
      <c r="E91" t="str">
        <f t="shared" si="19"/>
        <v>NO</v>
      </c>
      <c r="F91" t="str">
        <f t="shared" si="19"/>
        <v/>
      </c>
      <c r="H91" s="1196" t="str">
        <f t="shared" si="23"/>
        <v/>
      </c>
      <c r="Q91" t="str">
        <f t="shared" si="21"/>
        <v>NO</v>
      </c>
      <c r="R91" t="str">
        <f t="shared" si="21"/>
        <v>NO</v>
      </c>
      <c r="S91" t="str">
        <f t="shared" si="21"/>
        <v>NO</v>
      </c>
      <c r="T91" t="str">
        <f t="shared" si="21"/>
        <v>NO</v>
      </c>
      <c r="U91" t="str">
        <f t="shared" si="21"/>
        <v>NO</v>
      </c>
      <c r="V91" t="str">
        <f t="shared" si="21"/>
        <v/>
      </c>
      <c r="W91" t="str">
        <f t="shared" si="24"/>
        <v/>
      </c>
      <c r="X91" s="1196" t="str">
        <f t="shared" si="25"/>
        <v/>
      </c>
      <c r="AG91" t="str">
        <f t="shared" si="22"/>
        <v>NO</v>
      </c>
      <c r="AH91" t="str">
        <f t="shared" si="22"/>
        <v>NO</v>
      </c>
      <c r="AI91" t="str">
        <f t="shared" si="22"/>
        <v>NO</v>
      </c>
      <c r="AJ91" t="str">
        <f t="shared" si="22"/>
        <v>NO</v>
      </c>
      <c r="AK91" t="str">
        <f t="shared" si="22"/>
        <v>NO</v>
      </c>
      <c r="AL91" t="str">
        <f t="shared" si="22"/>
        <v/>
      </c>
      <c r="AN91" s="1196" t="str">
        <f t="shared" si="26"/>
        <v/>
      </c>
      <c r="BA91" s="1196" t="str">
        <f t="shared" si="27"/>
        <v/>
      </c>
    </row>
    <row r="92" spans="1:53" x14ac:dyDescent="0.35">
      <c r="A92" t="str">
        <f t="shared" si="20"/>
        <v>NO</v>
      </c>
      <c r="B92" t="str">
        <f t="shared" si="20"/>
        <v>NO</v>
      </c>
      <c r="C92" t="str">
        <f t="shared" si="19"/>
        <v>NO</v>
      </c>
      <c r="D92" t="str">
        <f t="shared" si="19"/>
        <v>NO</v>
      </c>
      <c r="E92" t="str">
        <f t="shared" si="19"/>
        <v>NO</v>
      </c>
      <c r="F92" t="str">
        <f t="shared" si="19"/>
        <v/>
      </c>
      <c r="H92" s="1196" t="str">
        <f t="shared" si="23"/>
        <v/>
      </c>
      <c r="Q92" t="str">
        <f t="shared" si="21"/>
        <v>NO</v>
      </c>
      <c r="R92" t="str">
        <f t="shared" si="21"/>
        <v>NO</v>
      </c>
      <c r="S92" t="str">
        <f t="shared" si="21"/>
        <v>NO</v>
      </c>
      <c r="T92" t="str">
        <f t="shared" si="21"/>
        <v>NO</v>
      </c>
      <c r="U92" t="str">
        <f t="shared" si="21"/>
        <v>NO</v>
      </c>
      <c r="V92" t="str">
        <f t="shared" si="21"/>
        <v/>
      </c>
      <c r="W92" t="str">
        <f t="shared" si="24"/>
        <v/>
      </c>
      <c r="X92" s="1196" t="str">
        <f t="shared" si="25"/>
        <v/>
      </c>
      <c r="AG92" t="str">
        <f t="shared" si="22"/>
        <v>NO</v>
      </c>
      <c r="AH92" t="str">
        <f t="shared" si="22"/>
        <v>NO</v>
      </c>
      <c r="AI92" t="str">
        <f t="shared" si="22"/>
        <v>NO</v>
      </c>
      <c r="AJ92" t="str">
        <f t="shared" si="22"/>
        <v>NO</v>
      </c>
      <c r="AK92" t="str">
        <f t="shared" si="22"/>
        <v>NO</v>
      </c>
      <c r="AL92" t="str">
        <f t="shared" si="22"/>
        <v/>
      </c>
      <c r="AN92" s="1196" t="str">
        <f t="shared" si="26"/>
        <v/>
      </c>
      <c r="BA92" s="1196" t="str">
        <f t="shared" si="27"/>
        <v/>
      </c>
    </row>
    <row r="93" spans="1:53" x14ac:dyDescent="0.35">
      <c r="A93" t="str">
        <f t="shared" si="20"/>
        <v>NO</v>
      </c>
      <c r="B93" t="str">
        <f t="shared" si="20"/>
        <v>NO</v>
      </c>
      <c r="C93" t="str">
        <f t="shared" si="19"/>
        <v>NO</v>
      </c>
      <c r="D93" t="str">
        <f t="shared" si="19"/>
        <v>NO</v>
      </c>
      <c r="E93" t="str">
        <f t="shared" si="19"/>
        <v>NO</v>
      </c>
      <c r="F93" t="str">
        <f t="shared" si="19"/>
        <v/>
      </c>
      <c r="H93" s="1196" t="str">
        <f t="shared" si="23"/>
        <v/>
      </c>
      <c r="Q93" t="str">
        <f t="shared" si="21"/>
        <v>NO</v>
      </c>
      <c r="R93" t="str">
        <f t="shared" si="21"/>
        <v>NO</v>
      </c>
      <c r="S93" t="str">
        <f t="shared" si="21"/>
        <v>NO</v>
      </c>
      <c r="T93" t="str">
        <f t="shared" si="21"/>
        <v>NO</v>
      </c>
      <c r="U93" t="str">
        <f t="shared" si="21"/>
        <v>NO</v>
      </c>
      <c r="V93" t="str">
        <f t="shared" si="21"/>
        <v/>
      </c>
      <c r="W93" t="str">
        <f t="shared" si="24"/>
        <v/>
      </c>
      <c r="X93" s="1196" t="str">
        <f t="shared" si="25"/>
        <v/>
      </c>
      <c r="AG93" t="str">
        <f t="shared" si="22"/>
        <v>NO</v>
      </c>
      <c r="AH93" t="str">
        <f t="shared" si="22"/>
        <v>NO</v>
      </c>
      <c r="AI93" t="str">
        <f t="shared" si="22"/>
        <v>NO</v>
      </c>
      <c r="AJ93" t="str">
        <f t="shared" si="22"/>
        <v>NO</v>
      </c>
      <c r="AK93" t="str">
        <f t="shared" si="22"/>
        <v>NO</v>
      </c>
      <c r="AL93" t="str">
        <f t="shared" si="22"/>
        <v/>
      </c>
      <c r="AN93" s="1196" t="str">
        <f t="shared" si="26"/>
        <v/>
      </c>
      <c r="BA93" s="1196" t="str">
        <f t="shared" si="27"/>
        <v/>
      </c>
    </row>
    <row r="94" spans="1:53" x14ac:dyDescent="0.35">
      <c r="A94" t="str">
        <f t="shared" si="20"/>
        <v>NO</v>
      </c>
      <c r="B94" t="str">
        <f t="shared" si="20"/>
        <v>NO</v>
      </c>
      <c r="C94" t="str">
        <f t="shared" si="19"/>
        <v>NO</v>
      </c>
      <c r="D94" t="str">
        <f t="shared" si="19"/>
        <v>NO</v>
      </c>
      <c r="E94" t="str">
        <f t="shared" si="19"/>
        <v>NO</v>
      </c>
      <c r="F94" t="str">
        <f t="shared" si="19"/>
        <v/>
      </c>
      <c r="H94" s="1196" t="str">
        <f t="shared" si="23"/>
        <v/>
      </c>
      <c r="Q94" t="str">
        <f t="shared" si="21"/>
        <v>NO</v>
      </c>
      <c r="R94" t="str">
        <f t="shared" si="21"/>
        <v>NO</v>
      </c>
      <c r="S94" t="str">
        <f t="shared" si="21"/>
        <v>NO</v>
      </c>
      <c r="T94" t="str">
        <f t="shared" si="21"/>
        <v>NO</v>
      </c>
      <c r="U94" t="str">
        <f t="shared" si="21"/>
        <v>NO</v>
      </c>
      <c r="V94" t="str">
        <f t="shared" si="21"/>
        <v/>
      </c>
      <c r="W94" t="str">
        <f t="shared" si="24"/>
        <v/>
      </c>
      <c r="X94" s="1196" t="str">
        <f t="shared" si="25"/>
        <v/>
      </c>
      <c r="AG94" t="str">
        <f t="shared" si="22"/>
        <v>NO</v>
      </c>
      <c r="AH94" t="str">
        <f t="shared" si="22"/>
        <v>NO</v>
      </c>
      <c r="AI94" t="str">
        <f t="shared" si="22"/>
        <v>NO</v>
      </c>
      <c r="AJ94" t="str">
        <f t="shared" si="22"/>
        <v>NO</v>
      </c>
      <c r="AK94" t="str">
        <f t="shared" si="22"/>
        <v>NO</v>
      </c>
      <c r="AL94" t="str">
        <f t="shared" si="22"/>
        <v/>
      </c>
      <c r="AN94" s="1196" t="str">
        <f t="shared" si="26"/>
        <v/>
      </c>
      <c r="BA94" s="1196" t="str">
        <f t="shared" si="27"/>
        <v/>
      </c>
    </row>
    <row r="95" spans="1:53" x14ac:dyDescent="0.35">
      <c r="A95" t="str">
        <f t="shared" si="20"/>
        <v>NO</v>
      </c>
      <c r="B95" t="str">
        <f t="shared" si="20"/>
        <v>NO</v>
      </c>
      <c r="C95" t="str">
        <f t="shared" si="19"/>
        <v>NO</v>
      </c>
      <c r="D95" t="str">
        <f t="shared" si="19"/>
        <v>NO</v>
      </c>
      <c r="E95" t="str">
        <f t="shared" si="19"/>
        <v>NO</v>
      </c>
      <c r="F95" t="str">
        <f t="shared" si="19"/>
        <v/>
      </c>
      <c r="H95" s="1196" t="str">
        <f t="shared" si="23"/>
        <v/>
      </c>
      <c r="Q95" t="str">
        <f t="shared" si="21"/>
        <v>NO</v>
      </c>
      <c r="R95" t="str">
        <f t="shared" si="21"/>
        <v>NO</v>
      </c>
      <c r="S95" t="str">
        <f t="shared" si="21"/>
        <v>NO</v>
      </c>
      <c r="T95" t="str">
        <f t="shared" si="21"/>
        <v>NO</v>
      </c>
      <c r="U95" t="str">
        <f t="shared" si="21"/>
        <v>NO</v>
      </c>
      <c r="V95" t="str">
        <f t="shared" si="21"/>
        <v/>
      </c>
      <c r="W95" t="str">
        <f t="shared" si="24"/>
        <v/>
      </c>
      <c r="X95" s="1196" t="str">
        <f t="shared" si="25"/>
        <v/>
      </c>
      <c r="AG95" t="str">
        <f t="shared" si="22"/>
        <v>NO</v>
      </c>
      <c r="AH95" t="str">
        <f t="shared" si="22"/>
        <v>NO</v>
      </c>
      <c r="AI95" t="str">
        <f t="shared" si="22"/>
        <v>NO</v>
      </c>
      <c r="AJ95" t="str">
        <f t="shared" si="22"/>
        <v>NO</v>
      </c>
      <c r="AK95" t="str">
        <f t="shared" si="22"/>
        <v>NO</v>
      </c>
      <c r="AL95" t="str">
        <f t="shared" si="22"/>
        <v/>
      </c>
      <c r="AN95" s="1196" t="str">
        <f t="shared" si="26"/>
        <v/>
      </c>
      <c r="BA95" s="1196" t="str">
        <f t="shared" si="27"/>
        <v/>
      </c>
    </row>
    <row r="96" spans="1:53" x14ac:dyDescent="0.35">
      <c r="A96" t="str">
        <f t="shared" si="20"/>
        <v>NO</v>
      </c>
      <c r="B96" t="str">
        <f t="shared" si="20"/>
        <v>NO</v>
      </c>
      <c r="C96" t="str">
        <f t="shared" si="19"/>
        <v>NO</v>
      </c>
      <c r="D96" t="str">
        <f t="shared" si="19"/>
        <v>NO</v>
      </c>
      <c r="E96" t="str">
        <f t="shared" si="19"/>
        <v>NO</v>
      </c>
      <c r="F96" t="str">
        <f t="shared" si="19"/>
        <v/>
      </c>
      <c r="H96" s="1196" t="str">
        <f t="shared" si="23"/>
        <v/>
      </c>
      <c r="Q96" t="str">
        <f t="shared" si="21"/>
        <v>NO</v>
      </c>
      <c r="R96" t="str">
        <f t="shared" si="21"/>
        <v>NO</v>
      </c>
      <c r="S96" t="str">
        <f t="shared" si="21"/>
        <v>NO</v>
      </c>
      <c r="T96" t="str">
        <f t="shared" si="21"/>
        <v>NO</v>
      </c>
      <c r="U96" t="str">
        <f t="shared" si="21"/>
        <v>NO</v>
      </c>
      <c r="V96" t="str">
        <f t="shared" si="21"/>
        <v/>
      </c>
      <c r="W96" t="str">
        <f t="shared" si="24"/>
        <v/>
      </c>
      <c r="X96" s="1196" t="str">
        <f t="shared" si="25"/>
        <v/>
      </c>
      <c r="AG96" t="str">
        <f t="shared" si="22"/>
        <v>NO</v>
      </c>
      <c r="AH96" t="str">
        <f t="shared" si="22"/>
        <v>NO</v>
      </c>
      <c r="AI96" t="str">
        <f t="shared" si="22"/>
        <v>NO</v>
      </c>
      <c r="AJ96" t="str">
        <f t="shared" si="22"/>
        <v>NO</v>
      </c>
      <c r="AK96" t="str">
        <f t="shared" si="22"/>
        <v>NO</v>
      </c>
      <c r="AL96" t="str">
        <f t="shared" si="22"/>
        <v/>
      </c>
      <c r="AN96" s="1196" t="str">
        <f t="shared" si="26"/>
        <v/>
      </c>
      <c r="BA96" s="1196" t="str">
        <f t="shared" si="27"/>
        <v/>
      </c>
    </row>
    <row r="97" spans="1:53" x14ac:dyDescent="0.35">
      <c r="A97" t="str">
        <f t="shared" si="20"/>
        <v>NO</v>
      </c>
      <c r="B97" t="str">
        <f t="shared" si="20"/>
        <v>NO</v>
      </c>
      <c r="C97" t="str">
        <f t="shared" si="19"/>
        <v>NO</v>
      </c>
      <c r="D97" t="str">
        <f t="shared" si="19"/>
        <v>NO</v>
      </c>
      <c r="E97" t="str">
        <f t="shared" si="19"/>
        <v>NO</v>
      </c>
      <c r="F97" t="str">
        <f t="shared" si="19"/>
        <v/>
      </c>
      <c r="H97" s="1196" t="str">
        <f t="shared" si="23"/>
        <v/>
      </c>
      <c r="Q97" t="str">
        <f t="shared" si="21"/>
        <v>NO</v>
      </c>
      <c r="R97" t="str">
        <f t="shared" si="21"/>
        <v>NO</v>
      </c>
      <c r="S97" t="str">
        <f t="shared" si="21"/>
        <v>NO</v>
      </c>
      <c r="T97" t="str">
        <f t="shared" si="21"/>
        <v>NO</v>
      </c>
      <c r="U97" t="str">
        <f t="shared" si="21"/>
        <v>NO</v>
      </c>
      <c r="V97" t="str">
        <f t="shared" si="21"/>
        <v/>
      </c>
      <c r="W97" t="str">
        <f t="shared" si="24"/>
        <v/>
      </c>
      <c r="X97" s="1196" t="str">
        <f t="shared" si="25"/>
        <v/>
      </c>
      <c r="AG97" t="str">
        <f t="shared" si="22"/>
        <v>NO</v>
      </c>
      <c r="AH97" t="str">
        <f t="shared" si="22"/>
        <v>NO</v>
      </c>
      <c r="AI97" t="str">
        <f t="shared" si="22"/>
        <v>NO</v>
      </c>
      <c r="AJ97" t="str">
        <f t="shared" si="22"/>
        <v>NO</v>
      </c>
      <c r="AK97" t="str">
        <f t="shared" si="22"/>
        <v>NO</v>
      </c>
      <c r="AL97" t="str">
        <f t="shared" si="22"/>
        <v/>
      </c>
      <c r="AN97" s="1196" t="str">
        <f t="shared" si="26"/>
        <v/>
      </c>
      <c r="BA97" s="1196" t="str">
        <f t="shared" si="27"/>
        <v/>
      </c>
    </row>
    <row r="98" spans="1:53" x14ac:dyDescent="0.35">
      <c r="A98" t="str">
        <f t="shared" si="20"/>
        <v>NO</v>
      </c>
      <c r="B98" t="str">
        <f t="shared" si="20"/>
        <v>NO</v>
      </c>
      <c r="C98" t="str">
        <f t="shared" si="19"/>
        <v>NO</v>
      </c>
      <c r="D98" t="str">
        <f t="shared" si="19"/>
        <v>NO</v>
      </c>
      <c r="E98" t="str">
        <f t="shared" si="19"/>
        <v>NO</v>
      </c>
      <c r="F98" t="str">
        <f t="shared" si="19"/>
        <v/>
      </c>
      <c r="H98" s="1196" t="str">
        <f t="shared" si="23"/>
        <v/>
      </c>
      <c r="Q98" t="str">
        <f t="shared" si="21"/>
        <v>NO</v>
      </c>
      <c r="R98" t="str">
        <f t="shared" si="21"/>
        <v>NO</v>
      </c>
      <c r="S98" t="str">
        <f t="shared" si="21"/>
        <v>NO</v>
      </c>
      <c r="T98" t="str">
        <f t="shared" si="21"/>
        <v>NO</v>
      </c>
      <c r="U98" t="str">
        <f t="shared" si="21"/>
        <v>NO</v>
      </c>
      <c r="V98" t="str">
        <f t="shared" si="21"/>
        <v/>
      </c>
      <c r="W98" t="str">
        <f t="shared" si="24"/>
        <v/>
      </c>
      <c r="X98" s="1196" t="str">
        <f t="shared" si="25"/>
        <v/>
      </c>
      <c r="AG98" t="str">
        <f t="shared" si="22"/>
        <v>NO</v>
      </c>
      <c r="AH98" t="str">
        <f t="shared" si="22"/>
        <v>NO</v>
      </c>
      <c r="AI98" t="str">
        <f t="shared" si="22"/>
        <v>NO</v>
      </c>
      <c r="AJ98" t="str">
        <f t="shared" si="22"/>
        <v>NO</v>
      </c>
      <c r="AK98" t="str">
        <f t="shared" si="22"/>
        <v>NO</v>
      </c>
      <c r="AL98" t="str">
        <f t="shared" si="22"/>
        <v/>
      </c>
      <c r="AN98" s="1196" t="str">
        <f t="shared" si="26"/>
        <v/>
      </c>
      <c r="BA98" s="1196" t="str">
        <f t="shared" si="27"/>
        <v/>
      </c>
    </row>
    <row r="99" spans="1:53" x14ac:dyDescent="0.35">
      <c r="A99" t="str">
        <f t="shared" si="20"/>
        <v>NO</v>
      </c>
      <c r="B99" t="str">
        <f t="shared" si="20"/>
        <v>NO</v>
      </c>
      <c r="C99" t="str">
        <f t="shared" si="19"/>
        <v>NO</v>
      </c>
      <c r="D99" t="str">
        <f t="shared" si="19"/>
        <v>NO</v>
      </c>
      <c r="E99" t="str">
        <f t="shared" si="19"/>
        <v>NO</v>
      </c>
      <c r="F99" t="str">
        <f t="shared" si="19"/>
        <v/>
      </c>
      <c r="H99" s="1196" t="str">
        <f t="shared" si="23"/>
        <v/>
      </c>
      <c r="Q99" t="str">
        <f t="shared" si="21"/>
        <v>NO</v>
      </c>
      <c r="R99" t="str">
        <f t="shared" si="21"/>
        <v>NO</v>
      </c>
      <c r="S99" t="str">
        <f t="shared" si="21"/>
        <v>NO</v>
      </c>
      <c r="T99" t="str">
        <f t="shared" si="21"/>
        <v>NO</v>
      </c>
      <c r="U99" t="str">
        <f t="shared" si="21"/>
        <v>NO</v>
      </c>
      <c r="V99" t="str">
        <f t="shared" si="21"/>
        <v/>
      </c>
      <c r="W99" t="str">
        <f t="shared" si="24"/>
        <v/>
      </c>
      <c r="X99" s="1196" t="str">
        <f t="shared" si="25"/>
        <v/>
      </c>
      <c r="AG99" t="str">
        <f t="shared" si="22"/>
        <v>NO</v>
      </c>
      <c r="AH99" t="str">
        <f t="shared" si="22"/>
        <v>NO</v>
      </c>
      <c r="AI99" t="str">
        <f t="shared" si="22"/>
        <v>NO</v>
      </c>
      <c r="AJ99" t="str">
        <f t="shared" si="22"/>
        <v>NO</v>
      </c>
      <c r="AK99" t="str">
        <f t="shared" si="22"/>
        <v>NO</v>
      </c>
      <c r="AL99" t="str">
        <f t="shared" si="22"/>
        <v/>
      </c>
      <c r="AN99" s="1196" t="str">
        <f t="shared" si="26"/>
        <v/>
      </c>
      <c r="BA99" s="1196" t="str">
        <f t="shared" si="27"/>
        <v/>
      </c>
    </row>
    <row r="100" spans="1:53" x14ac:dyDescent="0.35">
      <c r="A100" t="str">
        <f t="shared" si="20"/>
        <v>NO</v>
      </c>
      <c r="B100" t="str">
        <f t="shared" si="20"/>
        <v>NO</v>
      </c>
      <c r="C100" t="str">
        <f t="shared" si="19"/>
        <v>NO</v>
      </c>
      <c r="D100" t="str">
        <f t="shared" si="19"/>
        <v>NO</v>
      </c>
      <c r="E100" t="str">
        <f t="shared" si="19"/>
        <v>NO</v>
      </c>
      <c r="F100" t="str">
        <f t="shared" si="19"/>
        <v/>
      </c>
      <c r="H100" s="1196" t="str">
        <f t="shared" si="23"/>
        <v/>
      </c>
      <c r="Q100" t="str">
        <f t="shared" si="21"/>
        <v>NO</v>
      </c>
      <c r="R100" t="str">
        <f t="shared" si="21"/>
        <v>NO</v>
      </c>
      <c r="S100" t="str">
        <f t="shared" si="21"/>
        <v>NO</v>
      </c>
      <c r="T100" t="str">
        <f t="shared" si="21"/>
        <v>NO</v>
      </c>
      <c r="U100" t="str">
        <f t="shared" si="21"/>
        <v>NO</v>
      </c>
      <c r="V100" t="str">
        <f t="shared" si="21"/>
        <v/>
      </c>
      <c r="W100" t="str">
        <f t="shared" si="24"/>
        <v/>
      </c>
      <c r="X100" s="1196" t="str">
        <f t="shared" si="25"/>
        <v/>
      </c>
      <c r="AG100" t="str">
        <f t="shared" si="22"/>
        <v>NO</v>
      </c>
      <c r="AH100" t="str">
        <f t="shared" si="22"/>
        <v>NO</v>
      </c>
      <c r="AI100" t="str">
        <f t="shared" si="22"/>
        <v>NO</v>
      </c>
      <c r="AJ100" t="str">
        <f t="shared" si="22"/>
        <v>NO</v>
      </c>
      <c r="AK100" t="str">
        <f t="shared" si="22"/>
        <v>NO</v>
      </c>
      <c r="AL100" t="str">
        <f t="shared" si="22"/>
        <v/>
      </c>
      <c r="AN100" s="1196" t="str">
        <f t="shared" si="26"/>
        <v/>
      </c>
      <c r="BA100" s="1196" t="str">
        <f t="shared" si="27"/>
        <v/>
      </c>
    </row>
    <row r="101" spans="1:53" x14ac:dyDescent="0.35">
      <c r="A101" t="str">
        <f t="shared" si="20"/>
        <v>NO</v>
      </c>
      <c r="B101" t="str">
        <f t="shared" si="20"/>
        <v>NO</v>
      </c>
      <c r="C101" t="str">
        <f t="shared" si="19"/>
        <v>NO</v>
      </c>
      <c r="D101" t="str">
        <f t="shared" si="19"/>
        <v>NO</v>
      </c>
      <c r="E101" t="str">
        <f t="shared" si="19"/>
        <v>NO</v>
      </c>
      <c r="F101" t="str">
        <f t="shared" si="19"/>
        <v/>
      </c>
      <c r="H101" s="1196" t="str">
        <f t="shared" si="23"/>
        <v/>
      </c>
      <c r="Q101" t="str">
        <f t="shared" si="21"/>
        <v>NO</v>
      </c>
      <c r="R101" t="str">
        <f t="shared" si="21"/>
        <v>NO</v>
      </c>
      <c r="S101" t="str">
        <f t="shared" si="21"/>
        <v>NO</v>
      </c>
      <c r="T101" t="str">
        <f t="shared" ref="R101:V152" si="28">IFERROR(IF($AA101=T$2,_xlfn.CONCAT($Y101,$Z101),"NO"),0)</f>
        <v>NO</v>
      </c>
      <c r="U101" t="str">
        <f t="shared" si="28"/>
        <v>NO</v>
      </c>
      <c r="V101" t="str">
        <f t="shared" si="28"/>
        <v/>
      </c>
      <c r="W101" t="str">
        <f t="shared" si="24"/>
        <v/>
      </c>
      <c r="X101" s="1196" t="str">
        <f t="shared" si="25"/>
        <v/>
      </c>
      <c r="AG101" t="str">
        <f t="shared" si="22"/>
        <v>NO</v>
      </c>
      <c r="AH101" t="str">
        <f t="shared" si="22"/>
        <v>NO</v>
      </c>
      <c r="AI101" t="str">
        <f t="shared" si="22"/>
        <v>NO</v>
      </c>
      <c r="AJ101" t="str">
        <f t="shared" ref="AH101:AL152" si="29">IFERROR(IF($AQ101=AJ$2,_xlfn.CONCAT($AO101,$AP101),"NO"),0)</f>
        <v>NO</v>
      </c>
      <c r="AK101" t="str">
        <f t="shared" si="29"/>
        <v>NO</v>
      </c>
      <c r="AL101" t="str">
        <f t="shared" si="29"/>
        <v/>
      </c>
      <c r="AN101" s="1196" t="str">
        <f t="shared" si="26"/>
        <v/>
      </c>
      <c r="BA101" s="1196" t="str">
        <f t="shared" si="27"/>
        <v/>
      </c>
    </row>
    <row r="102" spans="1:53" x14ac:dyDescent="0.35">
      <c r="A102" t="str">
        <f t="shared" si="20"/>
        <v>NO</v>
      </c>
      <c r="B102" t="str">
        <f t="shared" si="20"/>
        <v>NO</v>
      </c>
      <c r="C102" t="str">
        <f t="shared" si="19"/>
        <v>NO</v>
      </c>
      <c r="D102" t="str">
        <f t="shared" si="19"/>
        <v>NO</v>
      </c>
      <c r="E102" t="str">
        <f t="shared" si="19"/>
        <v>NO</v>
      </c>
      <c r="F102" t="str">
        <f t="shared" si="19"/>
        <v/>
      </c>
      <c r="H102" s="1196" t="str">
        <f t="shared" si="23"/>
        <v/>
      </c>
      <c r="Q102" t="str">
        <f t="shared" ref="Q102:Q165" si="30">IFERROR(IF($AA102=Q$2,_xlfn.CONCAT($Y102,$Z102),"NO"),0)</f>
        <v>NO</v>
      </c>
      <c r="R102" t="str">
        <f t="shared" si="28"/>
        <v>NO</v>
      </c>
      <c r="S102" t="str">
        <f t="shared" si="28"/>
        <v>NO</v>
      </c>
      <c r="T102" t="str">
        <f t="shared" si="28"/>
        <v>NO</v>
      </c>
      <c r="U102" t="str">
        <f t="shared" si="28"/>
        <v>NO</v>
      </c>
      <c r="V102" t="str">
        <f t="shared" si="28"/>
        <v/>
      </c>
      <c r="W102" t="str">
        <f t="shared" si="24"/>
        <v/>
      </c>
      <c r="X102" s="1196" t="str">
        <f t="shared" si="25"/>
        <v/>
      </c>
      <c r="AG102" t="str">
        <f t="shared" ref="AG102:AG165" si="31">IFERROR(IF($AQ102=AG$2,_xlfn.CONCAT($AO102,$AP102),"NO"),0)</f>
        <v>NO</v>
      </c>
      <c r="AH102" t="str">
        <f t="shared" si="29"/>
        <v>NO</v>
      </c>
      <c r="AI102" t="str">
        <f t="shared" si="29"/>
        <v>NO</v>
      </c>
      <c r="AJ102" t="str">
        <f t="shared" si="29"/>
        <v>NO</v>
      </c>
      <c r="AK102" t="str">
        <f t="shared" si="29"/>
        <v>NO</v>
      </c>
      <c r="AL102" t="str">
        <f t="shared" si="29"/>
        <v/>
      </c>
      <c r="AN102" s="1196" t="str">
        <f t="shared" si="26"/>
        <v/>
      </c>
      <c r="BA102" s="1196" t="str">
        <f t="shared" si="27"/>
        <v/>
      </c>
    </row>
    <row r="103" spans="1:53" x14ac:dyDescent="0.35">
      <c r="A103" t="str">
        <f t="shared" si="20"/>
        <v>NO</v>
      </c>
      <c r="B103" t="str">
        <f t="shared" si="20"/>
        <v>NO</v>
      </c>
      <c r="C103" t="str">
        <f t="shared" si="19"/>
        <v>NO</v>
      </c>
      <c r="D103" t="str">
        <f t="shared" si="19"/>
        <v>NO</v>
      </c>
      <c r="E103" t="str">
        <f t="shared" si="19"/>
        <v>NO</v>
      </c>
      <c r="F103" t="str">
        <f t="shared" si="19"/>
        <v/>
      </c>
      <c r="H103" s="1196" t="str">
        <f t="shared" si="23"/>
        <v/>
      </c>
      <c r="Q103" t="str">
        <f t="shared" si="30"/>
        <v>NO</v>
      </c>
      <c r="R103" t="str">
        <f t="shared" si="28"/>
        <v>NO</v>
      </c>
      <c r="S103" t="str">
        <f t="shared" si="28"/>
        <v>NO</v>
      </c>
      <c r="T103" t="str">
        <f t="shared" si="28"/>
        <v>NO</v>
      </c>
      <c r="U103" t="str">
        <f t="shared" si="28"/>
        <v>NO</v>
      </c>
      <c r="V103" t="str">
        <f t="shared" si="28"/>
        <v/>
      </c>
      <c r="W103" t="str">
        <f t="shared" si="24"/>
        <v/>
      </c>
      <c r="X103" s="1196" t="str">
        <f t="shared" si="25"/>
        <v/>
      </c>
      <c r="AG103" t="str">
        <f t="shared" si="31"/>
        <v>NO</v>
      </c>
      <c r="AH103" t="str">
        <f t="shared" si="29"/>
        <v>NO</v>
      </c>
      <c r="AI103" t="str">
        <f t="shared" si="29"/>
        <v>NO</v>
      </c>
      <c r="AJ103" t="str">
        <f t="shared" si="29"/>
        <v>NO</v>
      </c>
      <c r="AK103" t="str">
        <f t="shared" si="29"/>
        <v>NO</v>
      </c>
      <c r="AL103" t="str">
        <f t="shared" si="29"/>
        <v/>
      </c>
      <c r="AN103" s="1196" t="str">
        <f t="shared" si="26"/>
        <v/>
      </c>
      <c r="BA103" s="1196" t="str">
        <f t="shared" si="27"/>
        <v/>
      </c>
    </row>
    <row r="104" spans="1:53" x14ac:dyDescent="0.35">
      <c r="A104" t="str">
        <f t="shared" si="20"/>
        <v>NO</v>
      </c>
      <c r="B104" t="str">
        <f t="shared" si="20"/>
        <v>NO</v>
      </c>
      <c r="C104" t="str">
        <f t="shared" si="19"/>
        <v>NO</v>
      </c>
      <c r="D104" t="str">
        <f t="shared" si="19"/>
        <v>NO</v>
      </c>
      <c r="E104" t="str">
        <f t="shared" si="19"/>
        <v>NO</v>
      </c>
      <c r="F104" t="str">
        <f t="shared" si="19"/>
        <v/>
      </c>
      <c r="H104" s="1196" t="str">
        <f t="shared" si="23"/>
        <v/>
      </c>
      <c r="Q104" t="str">
        <f t="shared" si="30"/>
        <v>NO</v>
      </c>
      <c r="R104" t="str">
        <f t="shared" si="28"/>
        <v>NO</v>
      </c>
      <c r="S104" t="str">
        <f t="shared" si="28"/>
        <v>NO</v>
      </c>
      <c r="T104" t="str">
        <f t="shared" si="28"/>
        <v>NO</v>
      </c>
      <c r="U104" t="str">
        <f t="shared" si="28"/>
        <v>NO</v>
      </c>
      <c r="V104" t="str">
        <f t="shared" si="28"/>
        <v/>
      </c>
      <c r="W104" t="str">
        <f t="shared" si="24"/>
        <v/>
      </c>
      <c r="X104" s="1196" t="str">
        <f t="shared" si="25"/>
        <v/>
      </c>
      <c r="AG104" t="str">
        <f t="shared" si="31"/>
        <v>NO</v>
      </c>
      <c r="AH104" t="str">
        <f t="shared" si="29"/>
        <v>NO</v>
      </c>
      <c r="AI104" t="str">
        <f t="shared" si="29"/>
        <v>NO</v>
      </c>
      <c r="AJ104" t="str">
        <f t="shared" si="29"/>
        <v>NO</v>
      </c>
      <c r="AK104" t="str">
        <f t="shared" si="29"/>
        <v>NO</v>
      </c>
      <c r="AL104" t="str">
        <f t="shared" si="29"/>
        <v/>
      </c>
      <c r="AN104" s="1196" t="str">
        <f t="shared" si="26"/>
        <v/>
      </c>
      <c r="BA104" s="1196" t="str">
        <f t="shared" si="27"/>
        <v/>
      </c>
    </row>
    <row r="105" spans="1:53" x14ac:dyDescent="0.35">
      <c r="A105" t="str">
        <f t="shared" si="20"/>
        <v>NO</v>
      </c>
      <c r="B105" t="str">
        <f t="shared" si="20"/>
        <v>NO</v>
      </c>
      <c r="C105" t="str">
        <f t="shared" si="19"/>
        <v>NO</v>
      </c>
      <c r="D105" t="str">
        <f t="shared" si="19"/>
        <v>NO</v>
      </c>
      <c r="E105" t="str">
        <f t="shared" si="19"/>
        <v>NO</v>
      </c>
      <c r="F105" t="str">
        <f t="shared" si="19"/>
        <v/>
      </c>
      <c r="H105" s="1196" t="str">
        <f t="shared" si="23"/>
        <v/>
      </c>
      <c r="Q105" t="str">
        <f t="shared" si="30"/>
        <v>NO</v>
      </c>
      <c r="R105" t="str">
        <f t="shared" si="28"/>
        <v>NO</v>
      </c>
      <c r="S105" t="str">
        <f t="shared" si="28"/>
        <v>NO</v>
      </c>
      <c r="T105" t="str">
        <f t="shared" si="28"/>
        <v>NO</v>
      </c>
      <c r="U105" t="str">
        <f t="shared" si="28"/>
        <v>NO</v>
      </c>
      <c r="V105" t="str">
        <f t="shared" si="28"/>
        <v/>
      </c>
      <c r="W105" t="str">
        <f t="shared" si="24"/>
        <v/>
      </c>
      <c r="X105" s="1196" t="str">
        <f t="shared" si="25"/>
        <v/>
      </c>
      <c r="AG105" t="str">
        <f t="shared" si="31"/>
        <v>NO</v>
      </c>
      <c r="AH105" t="str">
        <f t="shared" si="29"/>
        <v>NO</v>
      </c>
      <c r="AI105" t="str">
        <f t="shared" si="29"/>
        <v>NO</v>
      </c>
      <c r="AJ105" t="str">
        <f t="shared" si="29"/>
        <v>NO</v>
      </c>
      <c r="AK105" t="str">
        <f t="shared" si="29"/>
        <v>NO</v>
      </c>
      <c r="AL105" t="str">
        <f t="shared" si="29"/>
        <v/>
      </c>
      <c r="AN105" s="1196" t="str">
        <f t="shared" si="26"/>
        <v/>
      </c>
      <c r="BA105" s="1196" t="str">
        <f t="shared" si="27"/>
        <v/>
      </c>
    </row>
    <row r="106" spans="1:53" x14ac:dyDescent="0.35">
      <c r="A106" t="str">
        <f t="shared" si="20"/>
        <v>NO</v>
      </c>
      <c r="B106" t="str">
        <f t="shared" si="20"/>
        <v>NO</v>
      </c>
      <c r="C106" t="str">
        <f t="shared" si="19"/>
        <v>NO</v>
      </c>
      <c r="D106" t="str">
        <f t="shared" si="19"/>
        <v>NO</v>
      </c>
      <c r="E106" t="str">
        <f t="shared" si="19"/>
        <v>NO</v>
      </c>
      <c r="F106" t="str">
        <f t="shared" si="19"/>
        <v/>
      </c>
      <c r="H106" s="1196" t="str">
        <f t="shared" si="23"/>
        <v/>
      </c>
      <c r="Q106" t="str">
        <f t="shared" si="30"/>
        <v>NO</v>
      </c>
      <c r="R106" t="str">
        <f t="shared" si="28"/>
        <v>NO</v>
      </c>
      <c r="S106" t="str">
        <f t="shared" si="28"/>
        <v>NO</v>
      </c>
      <c r="T106" t="str">
        <f t="shared" si="28"/>
        <v>NO</v>
      </c>
      <c r="U106" t="str">
        <f t="shared" si="28"/>
        <v>NO</v>
      </c>
      <c r="V106" t="str">
        <f t="shared" si="28"/>
        <v/>
      </c>
      <c r="W106" t="str">
        <f t="shared" si="24"/>
        <v/>
      </c>
      <c r="X106" s="1196" t="str">
        <f t="shared" si="25"/>
        <v/>
      </c>
      <c r="AG106" t="str">
        <f t="shared" si="31"/>
        <v>NO</v>
      </c>
      <c r="AH106" t="str">
        <f t="shared" si="29"/>
        <v>NO</v>
      </c>
      <c r="AI106" t="str">
        <f t="shared" si="29"/>
        <v>NO</v>
      </c>
      <c r="AJ106" t="str">
        <f t="shared" si="29"/>
        <v>NO</v>
      </c>
      <c r="AK106" t="str">
        <f t="shared" si="29"/>
        <v>NO</v>
      </c>
      <c r="AL106" t="str">
        <f t="shared" si="29"/>
        <v/>
      </c>
      <c r="AN106" s="1196" t="str">
        <f t="shared" si="26"/>
        <v/>
      </c>
      <c r="BA106" s="1196" t="str">
        <f t="shared" si="27"/>
        <v/>
      </c>
    </row>
    <row r="107" spans="1:53" x14ac:dyDescent="0.35">
      <c r="A107" t="str">
        <f t="shared" si="20"/>
        <v>NO</v>
      </c>
      <c r="B107" t="str">
        <f t="shared" si="20"/>
        <v>NO</v>
      </c>
      <c r="C107" t="str">
        <f t="shared" si="19"/>
        <v>NO</v>
      </c>
      <c r="D107" t="str">
        <f t="shared" si="19"/>
        <v>NO</v>
      </c>
      <c r="E107" t="str">
        <f t="shared" si="19"/>
        <v>NO</v>
      </c>
      <c r="F107" t="str">
        <f t="shared" si="19"/>
        <v/>
      </c>
      <c r="H107" s="1196" t="str">
        <f t="shared" si="23"/>
        <v/>
      </c>
      <c r="Q107" t="str">
        <f t="shared" si="30"/>
        <v>NO</v>
      </c>
      <c r="R107" t="str">
        <f t="shared" si="28"/>
        <v>NO</v>
      </c>
      <c r="S107" t="str">
        <f t="shared" si="28"/>
        <v>NO</v>
      </c>
      <c r="T107" t="str">
        <f t="shared" si="28"/>
        <v>NO</v>
      </c>
      <c r="U107" t="str">
        <f t="shared" si="28"/>
        <v>NO</v>
      </c>
      <c r="V107" t="str">
        <f t="shared" si="28"/>
        <v/>
      </c>
      <c r="W107" t="str">
        <f t="shared" si="24"/>
        <v/>
      </c>
      <c r="X107" s="1196" t="str">
        <f t="shared" si="25"/>
        <v/>
      </c>
      <c r="AG107" t="str">
        <f t="shared" si="31"/>
        <v>NO</v>
      </c>
      <c r="AH107" t="str">
        <f t="shared" si="29"/>
        <v>NO</v>
      </c>
      <c r="AI107" t="str">
        <f t="shared" si="29"/>
        <v>NO</v>
      </c>
      <c r="AJ107" t="str">
        <f t="shared" si="29"/>
        <v>NO</v>
      </c>
      <c r="AK107" t="str">
        <f t="shared" si="29"/>
        <v>NO</v>
      </c>
      <c r="AL107" t="str">
        <f t="shared" si="29"/>
        <v/>
      </c>
      <c r="AN107" s="1196" t="str">
        <f t="shared" si="26"/>
        <v/>
      </c>
      <c r="BA107" s="1196" t="str">
        <f t="shared" si="27"/>
        <v/>
      </c>
    </row>
    <row r="108" spans="1:53" x14ac:dyDescent="0.35">
      <c r="A108" t="str">
        <f t="shared" si="20"/>
        <v>NO</v>
      </c>
      <c r="B108" t="str">
        <f t="shared" si="20"/>
        <v>NO</v>
      </c>
      <c r="C108" t="str">
        <f t="shared" si="19"/>
        <v>NO</v>
      </c>
      <c r="D108" t="str">
        <f t="shared" si="19"/>
        <v>NO</v>
      </c>
      <c r="E108" t="str">
        <f t="shared" si="19"/>
        <v>NO</v>
      </c>
      <c r="F108" t="str">
        <f t="shared" si="19"/>
        <v/>
      </c>
      <c r="H108" s="1196" t="str">
        <f t="shared" si="23"/>
        <v/>
      </c>
      <c r="Q108" t="str">
        <f t="shared" si="30"/>
        <v>NO</v>
      </c>
      <c r="R108" t="str">
        <f t="shared" si="28"/>
        <v>NO</v>
      </c>
      <c r="S108" t="str">
        <f t="shared" si="28"/>
        <v>NO</v>
      </c>
      <c r="T108" t="str">
        <f t="shared" si="28"/>
        <v>NO</v>
      </c>
      <c r="U108" t="str">
        <f t="shared" si="28"/>
        <v>NO</v>
      </c>
      <c r="V108" t="str">
        <f t="shared" si="28"/>
        <v/>
      </c>
      <c r="W108" t="str">
        <f t="shared" si="24"/>
        <v/>
      </c>
      <c r="X108" s="1196" t="str">
        <f t="shared" si="25"/>
        <v/>
      </c>
      <c r="AG108" t="str">
        <f t="shared" si="31"/>
        <v>NO</v>
      </c>
      <c r="AH108" t="str">
        <f t="shared" si="29"/>
        <v>NO</v>
      </c>
      <c r="AI108" t="str">
        <f t="shared" si="29"/>
        <v>NO</v>
      </c>
      <c r="AJ108" t="str">
        <f t="shared" si="29"/>
        <v>NO</v>
      </c>
      <c r="AK108" t="str">
        <f t="shared" si="29"/>
        <v>NO</v>
      </c>
      <c r="AL108" t="str">
        <f t="shared" si="29"/>
        <v/>
      </c>
      <c r="AN108" s="1196" t="str">
        <f t="shared" si="26"/>
        <v/>
      </c>
      <c r="BA108" s="1196" t="str">
        <f t="shared" si="27"/>
        <v/>
      </c>
    </row>
    <row r="109" spans="1:53" x14ac:dyDescent="0.35">
      <c r="A109" t="str">
        <f t="shared" si="20"/>
        <v>NO</v>
      </c>
      <c r="B109" t="str">
        <f t="shared" si="20"/>
        <v>NO</v>
      </c>
      <c r="C109" t="str">
        <f t="shared" si="19"/>
        <v>NO</v>
      </c>
      <c r="D109" t="str">
        <f t="shared" si="19"/>
        <v>NO</v>
      </c>
      <c r="E109" t="str">
        <f t="shared" si="19"/>
        <v>NO</v>
      </c>
      <c r="F109" t="str">
        <f t="shared" si="19"/>
        <v/>
      </c>
      <c r="H109" s="1196" t="str">
        <f t="shared" si="23"/>
        <v/>
      </c>
      <c r="Q109" t="str">
        <f t="shared" si="30"/>
        <v>NO</v>
      </c>
      <c r="R109" t="str">
        <f t="shared" si="28"/>
        <v>NO</v>
      </c>
      <c r="S109" t="str">
        <f t="shared" si="28"/>
        <v>NO</v>
      </c>
      <c r="T109" t="str">
        <f t="shared" si="28"/>
        <v>NO</v>
      </c>
      <c r="U109" t="str">
        <f t="shared" si="28"/>
        <v>NO</v>
      </c>
      <c r="V109" t="str">
        <f t="shared" si="28"/>
        <v/>
      </c>
      <c r="W109" t="str">
        <f t="shared" si="24"/>
        <v/>
      </c>
      <c r="X109" s="1196" t="str">
        <f t="shared" si="25"/>
        <v/>
      </c>
      <c r="AG109" t="str">
        <f t="shared" si="31"/>
        <v>NO</v>
      </c>
      <c r="AH109" t="str">
        <f t="shared" si="29"/>
        <v>NO</v>
      </c>
      <c r="AI109" t="str">
        <f t="shared" si="29"/>
        <v>NO</v>
      </c>
      <c r="AJ109" t="str">
        <f t="shared" si="29"/>
        <v>NO</v>
      </c>
      <c r="AK109" t="str">
        <f t="shared" si="29"/>
        <v>NO</v>
      </c>
      <c r="AL109" t="str">
        <f t="shared" si="29"/>
        <v/>
      </c>
      <c r="AN109" s="1196" t="str">
        <f t="shared" si="26"/>
        <v/>
      </c>
      <c r="BA109" s="1196" t="str">
        <f t="shared" si="27"/>
        <v/>
      </c>
    </row>
    <row r="110" spans="1:53" x14ac:dyDescent="0.35">
      <c r="A110" t="str">
        <f t="shared" si="20"/>
        <v>NO</v>
      </c>
      <c r="B110" t="str">
        <f t="shared" si="20"/>
        <v>NO</v>
      </c>
      <c r="C110" t="str">
        <f t="shared" si="19"/>
        <v>NO</v>
      </c>
      <c r="D110" t="str">
        <f t="shared" si="19"/>
        <v>NO</v>
      </c>
      <c r="E110" t="str">
        <f t="shared" si="19"/>
        <v>NO</v>
      </c>
      <c r="F110" t="str">
        <f t="shared" si="19"/>
        <v/>
      </c>
      <c r="H110" s="1196" t="str">
        <f t="shared" si="23"/>
        <v/>
      </c>
      <c r="Q110" t="str">
        <f t="shared" si="30"/>
        <v>NO</v>
      </c>
      <c r="R110" t="str">
        <f t="shared" si="28"/>
        <v>NO</v>
      </c>
      <c r="S110" t="str">
        <f t="shared" si="28"/>
        <v>NO</v>
      </c>
      <c r="T110" t="str">
        <f t="shared" si="28"/>
        <v>NO</v>
      </c>
      <c r="U110" t="str">
        <f t="shared" si="28"/>
        <v>NO</v>
      </c>
      <c r="V110" t="str">
        <f t="shared" si="28"/>
        <v/>
      </c>
      <c r="W110" t="str">
        <f t="shared" si="24"/>
        <v/>
      </c>
      <c r="X110" s="1196" t="str">
        <f t="shared" si="25"/>
        <v/>
      </c>
      <c r="AG110" t="str">
        <f t="shared" si="31"/>
        <v>NO</v>
      </c>
      <c r="AH110" t="str">
        <f t="shared" si="29"/>
        <v>NO</v>
      </c>
      <c r="AI110" t="str">
        <f t="shared" si="29"/>
        <v>NO</v>
      </c>
      <c r="AJ110" t="str">
        <f t="shared" si="29"/>
        <v>NO</v>
      </c>
      <c r="AK110" t="str">
        <f t="shared" si="29"/>
        <v>NO</v>
      </c>
      <c r="AL110" t="str">
        <f t="shared" si="29"/>
        <v/>
      </c>
      <c r="AN110" s="1196" t="str">
        <f t="shared" si="26"/>
        <v/>
      </c>
      <c r="BA110" s="1196" t="str">
        <f t="shared" si="27"/>
        <v/>
      </c>
    </row>
    <row r="111" spans="1:53" x14ac:dyDescent="0.35">
      <c r="A111" t="str">
        <f t="shared" si="20"/>
        <v>NO</v>
      </c>
      <c r="B111" t="str">
        <f t="shared" si="20"/>
        <v>NO</v>
      </c>
      <c r="C111" t="str">
        <f t="shared" si="19"/>
        <v>NO</v>
      </c>
      <c r="D111" t="str">
        <f t="shared" si="19"/>
        <v>NO</v>
      </c>
      <c r="E111" t="str">
        <f t="shared" si="19"/>
        <v>NO</v>
      </c>
      <c r="F111" t="str">
        <f t="shared" si="19"/>
        <v/>
      </c>
      <c r="H111" s="1196" t="str">
        <f t="shared" si="23"/>
        <v/>
      </c>
      <c r="Q111" t="str">
        <f t="shared" si="30"/>
        <v>NO</v>
      </c>
      <c r="R111" t="str">
        <f t="shared" si="28"/>
        <v>NO</v>
      </c>
      <c r="S111" t="str">
        <f t="shared" si="28"/>
        <v>NO</v>
      </c>
      <c r="T111" t="str">
        <f t="shared" si="28"/>
        <v>NO</v>
      </c>
      <c r="U111" t="str">
        <f t="shared" si="28"/>
        <v>NO</v>
      </c>
      <c r="V111" t="str">
        <f t="shared" si="28"/>
        <v/>
      </c>
      <c r="W111" t="str">
        <f t="shared" si="24"/>
        <v/>
      </c>
      <c r="X111" s="1196" t="str">
        <f t="shared" si="25"/>
        <v/>
      </c>
      <c r="AG111" t="str">
        <f t="shared" si="31"/>
        <v>NO</v>
      </c>
      <c r="AH111" t="str">
        <f t="shared" si="29"/>
        <v>NO</v>
      </c>
      <c r="AI111" t="str">
        <f t="shared" si="29"/>
        <v>NO</v>
      </c>
      <c r="AJ111" t="str">
        <f t="shared" si="29"/>
        <v>NO</v>
      </c>
      <c r="AK111" t="str">
        <f t="shared" si="29"/>
        <v>NO</v>
      </c>
      <c r="AL111" t="str">
        <f t="shared" si="29"/>
        <v/>
      </c>
      <c r="AN111" s="1196" t="str">
        <f t="shared" si="26"/>
        <v/>
      </c>
      <c r="BA111" s="1196" t="str">
        <f t="shared" si="27"/>
        <v/>
      </c>
    </row>
    <row r="112" spans="1:53" x14ac:dyDescent="0.35">
      <c r="A112" t="str">
        <f t="shared" si="20"/>
        <v>NO</v>
      </c>
      <c r="B112" t="str">
        <f t="shared" si="20"/>
        <v>NO</v>
      </c>
      <c r="C112" t="str">
        <f t="shared" si="19"/>
        <v>NO</v>
      </c>
      <c r="D112" t="str">
        <f t="shared" si="19"/>
        <v>NO</v>
      </c>
      <c r="E112" t="str">
        <f t="shared" si="19"/>
        <v>NO</v>
      </c>
      <c r="F112" t="str">
        <f t="shared" si="19"/>
        <v/>
      </c>
      <c r="H112" s="1196" t="str">
        <f t="shared" si="23"/>
        <v/>
      </c>
      <c r="Q112" t="str">
        <f t="shared" si="30"/>
        <v>NO</v>
      </c>
      <c r="R112" t="str">
        <f t="shared" si="28"/>
        <v>NO</v>
      </c>
      <c r="S112" t="str">
        <f t="shared" si="28"/>
        <v>NO</v>
      </c>
      <c r="T112" t="str">
        <f t="shared" si="28"/>
        <v>NO</v>
      </c>
      <c r="U112" t="str">
        <f t="shared" si="28"/>
        <v>NO</v>
      </c>
      <c r="V112" t="str">
        <f t="shared" si="28"/>
        <v/>
      </c>
      <c r="W112" t="str">
        <f t="shared" si="24"/>
        <v/>
      </c>
      <c r="X112" s="1196" t="str">
        <f t="shared" si="25"/>
        <v/>
      </c>
      <c r="AG112" t="str">
        <f t="shared" si="31"/>
        <v>NO</v>
      </c>
      <c r="AH112" t="str">
        <f t="shared" si="29"/>
        <v>NO</v>
      </c>
      <c r="AI112" t="str">
        <f t="shared" si="29"/>
        <v>NO</v>
      </c>
      <c r="AJ112" t="str">
        <f t="shared" si="29"/>
        <v>NO</v>
      </c>
      <c r="AK112" t="str">
        <f t="shared" si="29"/>
        <v>NO</v>
      </c>
      <c r="AL112" t="str">
        <f t="shared" si="29"/>
        <v/>
      </c>
      <c r="AN112" s="1196" t="str">
        <f t="shared" si="26"/>
        <v/>
      </c>
      <c r="BA112" s="1196" t="str">
        <f t="shared" si="27"/>
        <v/>
      </c>
    </row>
    <row r="113" spans="1:53" x14ac:dyDescent="0.35">
      <c r="A113" t="str">
        <f t="shared" si="20"/>
        <v>NO</v>
      </c>
      <c r="B113" t="str">
        <f t="shared" si="20"/>
        <v>NO</v>
      </c>
      <c r="C113" t="str">
        <f t="shared" si="19"/>
        <v>NO</v>
      </c>
      <c r="D113" t="str">
        <f t="shared" si="19"/>
        <v>NO</v>
      </c>
      <c r="E113" t="str">
        <f t="shared" si="19"/>
        <v>NO</v>
      </c>
      <c r="F113" t="str">
        <f t="shared" si="19"/>
        <v/>
      </c>
      <c r="H113" s="1196" t="str">
        <f t="shared" si="23"/>
        <v/>
      </c>
      <c r="Q113" t="str">
        <f t="shared" si="30"/>
        <v>NO</v>
      </c>
      <c r="R113" t="str">
        <f t="shared" si="28"/>
        <v>NO</v>
      </c>
      <c r="S113" t="str">
        <f t="shared" si="28"/>
        <v>NO</v>
      </c>
      <c r="T113" t="str">
        <f t="shared" si="28"/>
        <v>NO</v>
      </c>
      <c r="U113" t="str">
        <f t="shared" si="28"/>
        <v>NO</v>
      </c>
      <c r="V113" t="str">
        <f t="shared" si="28"/>
        <v/>
      </c>
      <c r="W113" t="str">
        <f t="shared" si="24"/>
        <v/>
      </c>
      <c r="X113" s="1196" t="str">
        <f t="shared" si="25"/>
        <v/>
      </c>
      <c r="AG113" t="str">
        <f t="shared" si="31"/>
        <v>NO</v>
      </c>
      <c r="AH113" t="str">
        <f t="shared" si="29"/>
        <v>NO</v>
      </c>
      <c r="AI113" t="str">
        <f t="shared" si="29"/>
        <v>NO</v>
      </c>
      <c r="AJ113" t="str">
        <f t="shared" si="29"/>
        <v>NO</v>
      </c>
      <c r="AK113" t="str">
        <f t="shared" si="29"/>
        <v>NO</v>
      </c>
      <c r="AL113" t="str">
        <f t="shared" si="29"/>
        <v/>
      </c>
      <c r="AN113" s="1196" t="str">
        <f t="shared" si="26"/>
        <v/>
      </c>
      <c r="BA113" s="1196" t="str">
        <f t="shared" si="27"/>
        <v/>
      </c>
    </row>
    <row r="114" spans="1:53" x14ac:dyDescent="0.35">
      <c r="A114" t="str">
        <f t="shared" si="20"/>
        <v>NO</v>
      </c>
      <c r="B114" t="str">
        <f t="shared" si="20"/>
        <v>NO</v>
      </c>
      <c r="C114" t="str">
        <f t="shared" si="19"/>
        <v>NO</v>
      </c>
      <c r="D114" t="str">
        <f t="shared" si="19"/>
        <v>NO</v>
      </c>
      <c r="E114" t="str">
        <f t="shared" si="19"/>
        <v>NO</v>
      </c>
      <c r="F114" t="str">
        <f t="shared" si="19"/>
        <v/>
      </c>
      <c r="H114" s="1196" t="str">
        <f t="shared" si="23"/>
        <v/>
      </c>
      <c r="Q114" t="str">
        <f t="shared" si="30"/>
        <v>NO</v>
      </c>
      <c r="R114" t="str">
        <f t="shared" si="28"/>
        <v>NO</v>
      </c>
      <c r="S114" t="str">
        <f t="shared" si="28"/>
        <v>NO</v>
      </c>
      <c r="T114" t="str">
        <f t="shared" si="28"/>
        <v>NO</v>
      </c>
      <c r="U114" t="str">
        <f t="shared" si="28"/>
        <v>NO</v>
      </c>
      <c r="V114" t="str">
        <f t="shared" si="28"/>
        <v/>
      </c>
      <c r="W114" t="str">
        <f t="shared" si="24"/>
        <v/>
      </c>
      <c r="X114" s="1196" t="str">
        <f t="shared" si="25"/>
        <v/>
      </c>
      <c r="AG114" t="str">
        <f t="shared" si="31"/>
        <v>NO</v>
      </c>
      <c r="AH114" t="str">
        <f t="shared" si="29"/>
        <v>NO</v>
      </c>
      <c r="AI114" t="str">
        <f t="shared" si="29"/>
        <v>NO</v>
      </c>
      <c r="AJ114" t="str">
        <f t="shared" si="29"/>
        <v>NO</v>
      </c>
      <c r="AK114" t="str">
        <f t="shared" si="29"/>
        <v>NO</v>
      </c>
      <c r="AL114" t="str">
        <f t="shared" si="29"/>
        <v/>
      </c>
      <c r="AN114" s="1196" t="str">
        <f t="shared" si="26"/>
        <v/>
      </c>
      <c r="BA114" s="1196" t="str">
        <f t="shared" si="27"/>
        <v/>
      </c>
    </row>
    <row r="115" spans="1:53" x14ac:dyDescent="0.35">
      <c r="A115" t="str">
        <f t="shared" si="20"/>
        <v>NO</v>
      </c>
      <c r="B115" t="str">
        <f t="shared" si="20"/>
        <v>NO</v>
      </c>
      <c r="C115" t="str">
        <f t="shared" si="19"/>
        <v>NO</v>
      </c>
      <c r="D115" t="str">
        <f t="shared" si="19"/>
        <v>NO</v>
      </c>
      <c r="E115" t="str">
        <f t="shared" si="19"/>
        <v>NO</v>
      </c>
      <c r="F115" t="str">
        <f t="shared" si="19"/>
        <v/>
      </c>
      <c r="H115" s="1196" t="str">
        <f t="shared" si="23"/>
        <v/>
      </c>
      <c r="Q115" t="str">
        <f t="shared" si="30"/>
        <v>NO</v>
      </c>
      <c r="R115" t="str">
        <f t="shared" si="28"/>
        <v>NO</v>
      </c>
      <c r="S115" t="str">
        <f t="shared" si="28"/>
        <v>NO</v>
      </c>
      <c r="T115" t="str">
        <f t="shared" si="28"/>
        <v>NO</v>
      </c>
      <c r="U115" t="str">
        <f t="shared" si="28"/>
        <v>NO</v>
      </c>
      <c r="V115" t="str">
        <f t="shared" si="28"/>
        <v/>
      </c>
      <c r="W115" t="str">
        <f t="shared" si="24"/>
        <v/>
      </c>
      <c r="X115" s="1196" t="str">
        <f t="shared" si="25"/>
        <v/>
      </c>
      <c r="AG115" t="str">
        <f t="shared" si="31"/>
        <v>NO</v>
      </c>
      <c r="AH115" t="str">
        <f t="shared" si="29"/>
        <v>NO</v>
      </c>
      <c r="AI115" t="str">
        <f t="shared" si="29"/>
        <v>NO</v>
      </c>
      <c r="AJ115" t="str">
        <f t="shared" si="29"/>
        <v>NO</v>
      </c>
      <c r="AK115" t="str">
        <f t="shared" si="29"/>
        <v>NO</v>
      </c>
      <c r="AL115" t="str">
        <f t="shared" si="29"/>
        <v/>
      </c>
      <c r="AN115" s="1196" t="str">
        <f t="shared" si="26"/>
        <v/>
      </c>
      <c r="BA115" s="1196" t="str">
        <f t="shared" si="27"/>
        <v/>
      </c>
    </row>
    <row r="116" spans="1:53" x14ac:dyDescent="0.35">
      <c r="A116" t="str">
        <f t="shared" si="20"/>
        <v>NO</v>
      </c>
      <c r="B116" t="str">
        <f t="shared" si="20"/>
        <v>NO</v>
      </c>
      <c r="C116" t="str">
        <f t="shared" si="19"/>
        <v>NO</v>
      </c>
      <c r="D116" t="str">
        <f t="shared" si="19"/>
        <v>NO</v>
      </c>
      <c r="E116" t="str">
        <f t="shared" si="19"/>
        <v>NO</v>
      </c>
      <c r="F116" t="str">
        <f t="shared" si="19"/>
        <v/>
      </c>
      <c r="H116" s="1196" t="str">
        <f t="shared" si="23"/>
        <v/>
      </c>
      <c r="Q116" t="str">
        <f t="shared" si="30"/>
        <v>NO</v>
      </c>
      <c r="R116" t="str">
        <f t="shared" si="28"/>
        <v>NO</v>
      </c>
      <c r="S116" t="str">
        <f t="shared" si="28"/>
        <v>NO</v>
      </c>
      <c r="T116" t="str">
        <f t="shared" si="28"/>
        <v>NO</v>
      </c>
      <c r="U116" t="str">
        <f t="shared" si="28"/>
        <v>NO</v>
      </c>
      <c r="V116" t="str">
        <f t="shared" si="28"/>
        <v/>
      </c>
      <c r="W116" t="str">
        <f t="shared" si="24"/>
        <v/>
      </c>
      <c r="X116" s="1196" t="str">
        <f t="shared" si="25"/>
        <v/>
      </c>
      <c r="AG116" t="str">
        <f t="shared" si="31"/>
        <v>NO</v>
      </c>
      <c r="AH116" t="str">
        <f t="shared" si="29"/>
        <v>NO</v>
      </c>
      <c r="AI116" t="str">
        <f t="shared" si="29"/>
        <v>NO</v>
      </c>
      <c r="AJ116" t="str">
        <f t="shared" si="29"/>
        <v>NO</v>
      </c>
      <c r="AK116" t="str">
        <f t="shared" si="29"/>
        <v>NO</v>
      </c>
      <c r="AL116" t="str">
        <f t="shared" si="29"/>
        <v/>
      </c>
      <c r="AN116" s="1196" t="str">
        <f t="shared" si="26"/>
        <v/>
      </c>
      <c r="BA116" s="1196" t="str">
        <f t="shared" si="27"/>
        <v/>
      </c>
    </row>
    <row r="117" spans="1:53" x14ac:dyDescent="0.35">
      <c r="A117" t="str">
        <f t="shared" si="20"/>
        <v>NO</v>
      </c>
      <c r="B117" t="str">
        <f t="shared" si="20"/>
        <v>NO</v>
      </c>
      <c r="C117" t="str">
        <f t="shared" si="19"/>
        <v>NO</v>
      </c>
      <c r="D117" t="str">
        <f t="shared" si="19"/>
        <v>NO</v>
      </c>
      <c r="E117" t="str">
        <f t="shared" si="19"/>
        <v>NO</v>
      </c>
      <c r="F117" t="str">
        <f t="shared" si="19"/>
        <v/>
      </c>
      <c r="H117" s="1196" t="str">
        <f t="shared" si="23"/>
        <v/>
      </c>
      <c r="Q117" t="str">
        <f t="shared" si="30"/>
        <v>NO</v>
      </c>
      <c r="R117" t="str">
        <f t="shared" si="28"/>
        <v>NO</v>
      </c>
      <c r="S117" t="str">
        <f t="shared" si="28"/>
        <v>NO</v>
      </c>
      <c r="T117" t="str">
        <f t="shared" si="28"/>
        <v>NO</v>
      </c>
      <c r="U117" t="str">
        <f t="shared" si="28"/>
        <v>NO</v>
      </c>
      <c r="V117" t="str">
        <f t="shared" si="28"/>
        <v/>
      </c>
      <c r="W117" t="str">
        <f t="shared" si="24"/>
        <v/>
      </c>
      <c r="X117" s="1196" t="str">
        <f t="shared" si="25"/>
        <v/>
      </c>
      <c r="AG117" t="str">
        <f t="shared" si="31"/>
        <v>NO</v>
      </c>
      <c r="AH117" t="str">
        <f t="shared" si="29"/>
        <v>NO</v>
      </c>
      <c r="AI117" t="str">
        <f t="shared" si="29"/>
        <v>NO</v>
      </c>
      <c r="AJ117" t="str">
        <f t="shared" si="29"/>
        <v>NO</v>
      </c>
      <c r="AK117" t="str">
        <f t="shared" si="29"/>
        <v>NO</v>
      </c>
      <c r="AL117" t="str">
        <f t="shared" si="29"/>
        <v/>
      </c>
      <c r="AN117" s="1196" t="str">
        <f t="shared" si="26"/>
        <v/>
      </c>
      <c r="BA117" s="1196" t="str">
        <f t="shared" si="27"/>
        <v/>
      </c>
    </row>
    <row r="118" spans="1:53" x14ac:dyDescent="0.35">
      <c r="A118" t="str">
        <f t="shared" si="20"/>
        <v>NO</v>
      </c>
      <c r="B118" t="str">
        <f t="shared" si="20"/>
        <v>NO</v>
      </c>
      <c r="C118" t="str">
        <f t="shared" si="19"/>
        <v>NO</v>
      </c>
      <c r="D118" t="str">
        <f t="shared" si="19"/>
        <v>NO</v>
      </c>
      <c r="E118" t="str">
        <f t="shared" si="19"/>
        <v>NO</v>
      </c>
      <c r="F118" t="str">
        <f t="shared" si="19"/>
        <v/>
      </c>
      <c r="H118" s="1196" t="str">
        <f t="shared" si="23"/>
        <v/>
      </c>
      <c r="Q118" t="str">
        <f t="shared" si="30"/>
        <v>NO</v>
      </c>
      <c r="R118" t="str">
        <f t="shared" si="28"/>
        <v>NO</v>
      </c>
      <c r="S118" t="str">
        <f t="shared" si="28"/>
        <v>NO</v>
      </c>
      <c r="T118" t="str">
        <f t="shared" si="28"/>
        <v>NO</v>
      </c>
      <c r="U118" t="str">
        <f t="shared" si="28"/>
        <v>NO</v>
      </c>
      <c r="V118" t="str">
        <f t="shared" si="28"/>
        <v/>
      </c>
      <c r="W118" t="str">
        <f t="shared" si="24"/>
        <v/>
      </c>
      <c r="X118" s="1196" t="str">
        <f t="shared" si="25"/>
        <v/>
      </c>
      <c r="AG118" t="str">
        <f t="shared" si="31"/>
        <v>NO</v>
      </c>
      <c r="AH118" t="str">
        <f t="shared" si="29"/>
        <v>NO</v>
      </c>
      <c r="AI118" t="str">
        <f t="shared" si="29"/>
        <v>NO</v>
      </c>
      <c r="AJ118" t="str">
        <f t="shared" si="29"/>
        <v>NO</v>
      </c>
      <c r="AK118" t="str">
        <f t="shared" si="29"/>
        <v>NO</v>
      </c>
      <c r="AL118" t="str">
        <f t="shared" si="29"/>
        <v/>
      </c>
      <c r="AN118" s="1196" t="str">
        <f t="shared" si="26"/>
        <v/>
      </c>
      <c r="BA118" s="1196" t="str">
        <f t="shared" si="27"/>
        <v/>
      </c>
    </row>
    <row r="119" spans="1:53" x14ac:dyDescent="0.35">
      <c r="A119" t="str">
        <f t="shared" si="20"/>
        <v>NO</v>
      </c>
      <c r="B119" t="str">
        <f t="shared" si="20"/>
        <v>NO</v>
      </c>
      <c r="C119" t="str">
        <f t="shared" si="19"/>
        <v>NO</v>
      </c>
      <c r="D119" t="str">
        <f t="shared" si="19"/>
        <v>NO</v>
      </c>
      <c r="E119" t="str">
        <f t="shared" si="19"/>
        <v>NO</v>
      </c>
      <c r="F119" t="str">
        <f t="shared" si="19"/>
        <v/>
      </c>
      <c r="H119" s="1196" t="str">
        <f t="shared" si="23"/>
        <v/>
      </c>
      <c r="Q119" t="str">
        <f t="shared" si="30"/>
        <v>NO</v>
      </c>
      <c r="R119" t="str">
        <f t="shared" si="28"/>
        <v>NO</v>
      </c>
      <c r="S119" t="str">
        <f t="shared" si="28"/>
        <v>NO</v>
      </c>
      <c r="T119" t="str">
        <f t="shared" si="28"/>
        <v>NO</v>
      </c>
      <c r="U119" t="str">
        <f t="shared" si="28"/>
        <v>NO</v>
      </c>
      <c r="V119" t="str">
        <f t="shared" si="28"/>
        <v/>
      </c>
      <c r="W119" t="str">
        <f t="shared" si="24"/>
        <v/>
      </c>
      <c r="X119" s="1196" t="str">
        <f t="shared" si="25"/>
        <v/>
      </c>
      <c r="AG119" t="str">
        <f t="shared" si="31"/>
        <v>NO</v>
      </c>
      <c r="AH119" t="str">
        <f t="shared" si="29"/>
        <v>NO</v>
      </c>
      <c r="AI119" t="str">
        <f t="shared" si="29"/>
        <v>NO</v>
      </c>
      <c r="AJ119" t="str">
        <f t="shared" si="29"/>
        <v>NO</v>
      </c>
      <c r="AK119" t="str">
        <f t="shared" si="29"/>
        <v>NO</v>
      </c>
      <c r="AL119" t="str">
        <f t="shared" si="29"/>
        <v/>
      </c>
      <c r="AN119" s="1196" t="str">
        <f t="shared" si="26"/>
        <v/>
      </c>
      <c r="BA119" s="1196" t="str">
        <f t="shared" si="27"/>
        <v/>
      </c>
    </row>
    <row r="120" spans="1:53" x14ac:dyDescent="0.35">
      <c r="A120" t="str">
        <f t="shared" si="20"/>
        <v>NO</v>
      </c>
      <c r="B120" t="str">
        <f t="shared" si="20"/>
        <v>NO</v>
      </c>
      <c r="C120" t="str">
        <f t="shared" si="20"/>
        <v>NO</v>
      </c>
      <c r="D120" t="str">
        <f t="shared" si="20"/>
        <v>NO</v>
      </c>
      <c r="E120" t="str">
        <f t="shared" si="20"/>
        <v>NO</v>
      </c>
      <c r="F120" t="str">
        <f t="shared" si="20"/>
        <v/>
      </c>
      <c r="H120" s="1196" t="str">
        <f t="shared" si="23"/>
        <v/>
      </c>
      <c r="Q120" t="str">
        <f t="shared" si="30"/>
        <v>NO</v>
      </c>
      <c r="R120" t="str">
        <f t="shared" si="28"/>
        <v>NO</v>
      </c>
      <c r="S120" t="str">
        <f t="shared" si="28"/>
        <v>NO</v>
      </c>
      <c r="T120" t="str">
        <f t="shared" si="28"/>
        <v>NO</v>
      </c>
      <c r="U120" t="str">
        <f t="shared" si="28"/>
        <v>NO</v>
      </c>
      <c r="V120" t="str">
        <f t="shared" si="28"/>
        <v/>
      </c>
      <c r="W120" t="str">
        <f t="shared" si="24"/>
        <v/>
      </c>
      <c r="X120" s="1196" t="str">
        <f t="shared" si="25"/>
        <v/>
      </c>
      <c r="AG120" t="str">
        <f t="shared" si="31"/>
        <v>NO</v>
      </c>
      <c r="AH120" t="str">
        <f t="shared" si="29"/>
        <v>NO</v>
      </c>
      <c r="AI120" t="str">
        <f t="shared" si="29"/>
        <v>NO</v>
      </c>
      <c r="AJ120" t="str">
        <f t="shared" si="29"/>
        <v>NO</v>
      </c>
      <c r="AK120" t="str">
        <f t="shared" si="29"/>
        <v>NO</v>
      </c>
      <c r="AL120" t="str">
        <f t="shared" si="29"/>
        <v/>
      </c>
      <c r="AN120" s="1196" t="str">
        <f t="shared" si="26"/>
        <v/>
      </c>
      <c r="BA120" s="1196" t="str">
        <f t="shared" si="27"/>
        <v/>
      </c>
    </row>
    <row r="121" spans="1:53" x14ac:dyDescent="0.35">
      <c r="A121" t="str">
        <f t="shared" ref="A121:F152" si="32">IFERROR(IF($K121=A$2,_xlfn.CONCAT($I121,$J121),"NO"),0)</f>
        <v>NO</v>
      </c>
      <c r="B121" t="str">
        <f t="shared" si="32"/>
        <v>NO</v>
      </c>
      <c r="C121" t="str">
        <f t="shared" si="32"/>
        <v>NO</v>
      </c>
      <c r="D121" t="str">
        <f t="shared" si="32"/>
        <v>NO</v>
      </c>
      <c r="E121" t="str">
        <f t="shared" si="32"/>
        <v>NO</v>
      </c>
      <c r="F121" t="str">
        <f t="shared" si="32"/>
        <v/>
      </c>
      <c r="H121" s="1196" t="str">
        <f t="shared" si="23"/>
        <v/>
      </c>
      <c r="Q121" t="str">
        <f t="shared" si="30"/>
        <v>NO</v>
      </c>
      <c r="R121" t="str">
        <f t="shared" si="28"/>
        <v>NO</v>
      </c>
      <c r="S121" t="str">
        <f t="shared" si="28"/>
        <v>NO</v>
      </c>
      <c r="T121" t="str">
        <f t="shared" si="28"/>
        <v>NO</v>
      </c>
      <c r="U121" t="str">
        <f t="shared" si="28"/>
        <v>NO</v>
      </c>
      <c r="V121" t="str">
        <f t="shared" si="28"/>
        <v/>
      </c>
      <c r="W121" t="str">
        <f t="shared" si="24"/>
        <v/>
      </c>
      <c r="X121" s="1196" t="str">
        <f t="shared" si="25"/>
        <v/>
      </c>
      <c r="AG121" t="str">
        <f t="shared" si="31"/>
        <v>NO</v>
      </c>
      <c r="AH121" t="str">
        <f t="shared" si="29"/>
        <v>NO</v>
      </c>
      <c r="AI121" t="str">
        <f t="shared" si="29"/>
        <v>NO</v>
      </c>
      <c r="AJ121" t="str">
        <f t="shared" si="29"/>
        <v>NO</v>
      </c>
      <c r="AK121" t="str">
        <f t="shared" si="29"/>
        <v>NO</v>
      </c>
      <c r="AL121" t="str">
        <f t="shared" si="29"/>
        <v/>
      </c>
      <c r="AN121" s="1196" t="str">
        <f t="shared" si="26"/>
        <v/>
      </c>
      <c r="BA121" s="1196" t="str">
        <f t="shared" si="27"/>
        <v/>
      </c>
    </row>
    <row r="122" spans="1:53" x14ac:dyDescent="0.35">
      <c r="A122" t="str">
        <f t="shared" si="32"/>
        <v>NO</v>
      </c>
      <c r="B122" t="str">
        <f t="shared" si="32"/>
        <v>NO</v>
      </c>
      <c r="C122" t="str">
        <f t="shared" si="32"/>
        <v>NO</v>
      </c>
      <c r="D122" t="str">
        <f t="shared" si="32"/>
        <v>NO</v>
      </c>
      <c r="E122" t="str">
        <f t="shared" si="32"/>
        <v>NO</v>
      </c>
      <c r="F122" t="str">
        <f t="shared" si="32"/>
        <v/>
      </c>
      <c r="H122" s="1196" t="str">
        <f t="shared" si="23"/>
        <v/>
      </c>
      <c r="Q122" t="str">
        <f t="shared" si="30"/>
        <v>NO</v>
      </c>
      <c r="R122" t="str">
        <f t="shared" si="28"/>
        <v>NO</v>
      </c>
      <c r="S122" t="str">
        <f t="shared" si="28"/>
        <v>NO</v>
      </c>
      <c r="T122" t="str">
        <f t="shared" si="28"/>
        <v>NO</v>
      </c>
      <c r="U122" t="str">
        <f t="shared" si="28"/>
        <v>NO</v>
      </c>
      <c r="V122" t="str">
        <f t="shared" si="28"/>
        <v/>
      </c>
      <c r="W122" t="str">
        <f t="shared" si="24"/>
        <v/>
      </c>
      <c r="X122" s="1196" t="str">
        <f t="shared" si="25"/>
        <v/>
      </c>
      <c r="AG122" t="str">
        <f t="shared" si="31"/>
        <v>NO</v>
      </c>
      <c r="AH122" t="str">
        <f t="shared" si="29"/>
        <v>NO</v>
      </c>
      <c r="AI122" t="str">
        <f t="shared" si="29"/>
        <v>NO</v>
      </c>
      <c r="AJ122" t="str">
        <f t="shared" si="29"/>
        <v>NO</v>
      </c>
      <c r="AK122" t="str">
        <f t="shared" si="29"/>
        <v>NO</v>
      </c>
      <c r="AL122" t="str">
        <f t="shared" si="29"/>
        <v/>
      </c>
      <c r="AN122" s="1196" t="str">
        <f t="shared" si="26"/>
        <v/>
      </c>
      <c r="BA122" s="1196" t="str">
        <f t="shared" si="27"/>
        <v/>
      </c>
    </row>
    <row r="123" spans="1:53" x14ac:dyDescent="0.35">
      <c r="A123" t="str">
        <f t="shared" si="32"/>
        <v>NO</v>
      </c>
      <c r="B123" t="str">
        <f t="shared" si="32"/>
        <v>NO</v>
      </c>
      <c r="C123" t="str">
        <f t="shared" si="32"/>
        <v>NO</v>
      </c>
      <c r="D123" t="str">
        <f t="shared" si="32"/>
        <v>NO</v>
      </c>
      <c r="E123" t="str">
        <f t="shared" si="32"/>
        <v>NO</v>
      </c>
      <c r="F123" t="str">
        <f t="shared" si="32"/>
        <v/>
      </c>
      <c r="H123" s="1196" t="str">
        <f t="shared" si="23"/>
        <v/>
      </c>
      <c r="Q123" t="str">
        <f t="shared" si="30"/>
        <v>NO</v>
      </c>
      <c r="R123" t="str">
        <f t="shared" si="28"/>
        <v>NO</v>
      </c>
      <c r="S123" t="str">
        <f t="shared" si="28"/>
        <v>NO</v>
      </c>
      <c r="T123" t="str">
        <f t="shared" si="28"/>
        <v>NO</v>
      </c>
      <c r="U123" t="str">
        <f t="shared" si="28"/>
        <v>NO</v>
      </c>
      <c r="V123" t="str">
        <f t="shared" si="28"/>
        <v/>
      </c>
      <c r="W123" t="str">
        <f t="shared" si="24"/>
        <v/>
      </c>
      <c r="X123" s="1196" t="str">
        <f t="shared" si="25"/>
        <v/>
      </c>
      <c r="AG123" t="str">
        <f t="shared" si="31"/>
        <v>NO</v>
      </c>
      <c r="AH123" t="str">
        <f t="shared" si="29"/>
        <v>NO</v>
      </c>
      <c r="AI123" t="str">
        <f t="shared" si="29"/>
        <v>NO</v>
      </c>
      <c r="AJ123" t="str">
        <f t="shared" si="29"/>
        <v>NO</v>
      </c>
      <c r="AK123" t="str">
        <f t="shared" si="29"/>
        <v>NO</v>
      </c>
      <c r="AL123" t="str">
        <f t="shared" si="29"/>
        <v/>
      </c>
      <c r="AN123" s="1196" t="str">
        <f t="shared" si="26"/>
        <v/>
      </c>
      <c r="BA123" s="1196" t="str">
        <f t="shared" si="27"/>
        <v/>
      </c>
    </row>
    <row r="124" spans="1:53" x14ac:dyDescent="0.35">
      <c r="A124" t="str">
        <f t="shared" si="32"/>
        <v>NO</v>
      </c>
      <c r="B124" t="str">
        <f t="shared" si="32"/>
        <v>NO</v>
      </c>
      <c r="C124" t="str">
        <f t="shared" si="32"/>
        <v>NO</v>
      </c>
      <c r="D124" t="str">
        <f t="shared" si="32"/>
        <v>NO</v>
      </c>
      <c r="E124" t="str">
        <f t="shared" si="32"/>
        <v>NO</v>
      </c>
      <c r="F124" t="str">
        <f t="shared" si="32"/>
        <v/>
      </c>
      <c r="H124" s="1196" t="str">
        <f t="shared" si="23"/>
        <v/>
      </c>
      <c r="Q124" t="str">
        <f t="shared" si="30"/>
        <v>NO</v>
      </c>
      <c r="R124" t="str">
        <f t="shared" si="28"/>
        <v>NO</v>
      </c>
      <c r="S124" t="str">
        <f t="shared" si="28"/>
        <v>NO</v>
      </c>
      <c r="T124" t="str">
        <f t="shared" si="28"/>
        <v>NO</v>
      </c>
      <c r="U124" t="str">
        <f t="shared" si="28"/>
        <v>NO</v>
      </c>
      <c r="V124" t="str">
        <f t="shared" si="28"/>
        <v/>
      </c>
      <c r="W124" t="str">
        <f t="shared" si="24"/>
        <v/>
      </c>
      <c r="X124" s="1196" t="str">
        <f t="shared" si="25"/>
        <v/>
      </c>
      <c r="AG124" t="str">
        <f t="shared" si="31"/>
        <v>NO</v>
      </c>
      <c r="AH124" t="str">
        <f t="shared" si="29"/>
        <v>NO</v>
      </c>
      <c r="AI124" t="str">
        <f t="shared" si="29"/>
        <v>NO</v>
      </c>
      <c r="AJ124" t="str">
        <f t="shared" si="29"/>
        <v>NO</v>
      </c>
      <c r="AK124" t="str">
        <f t="shared" si="29"/>
        <v>NO</v>
      </c>
      <c r="AL124" t="str">
        <f t="shared" si="29"/>
        <v/>
      </c>
      <c r="AN124" s="1196" t="str">
        <f t="shared" si="26"/>
        <v/>
      </c>
      <c r="BA124" s="1196" t="str">
        <f t="shared" si="27"/>
        <v/>
      </c>
    </row>
    <row r="125" spans="1:53" x14ac:dyDescent="0.35">
      <c r="A125" t="str">
        <f t="shared" si="32"/>
        <v>NO</v>
      </c>
      <c r="B125" t="str">
        <f t="shared" si="32"/>
        <v>NO</v>
      </c>
      <c r="C125" t="str">
        <f t="shared" si="32"/>
        <v>NO</v>
      </c>
      <c r="D125" t="str">
        <f t="shared" si="32"/>
        <v>NO</v>
      </c>
      <c r="E125" t="str">
        <f t="shared" si="32"/>
        <v>NO</v>
      </c>
      <c r="F125" t="str">
        <f t="shared" si="32"/>
        <v/>
      </c>
      <c r="H125" s="1196" t="str">
        <f t="shared" si="23"/>
        <v/>
      </c>
      <c r="Q125" t="str">
        <f t="shared" si="30"/>
        <v>NO</v>
      </c>
      <c r="R125" t="str">
        <f t="shared" si="28"/>
        <v>NO</v>
      </c>
      <c r="S125" t="str">
        <f t="shared" si="28"/>
        <v>NO</v>
      </c>
      <c r="T125" t="str">
        <f t="shared" si="28"/>
        <v>NO</v>
      </c>
      <c r="U125" t="str">
        <f t="shared" si="28"/>
        <v>NO</v>
      </c>
      <c r="V125" t="str">
        <f t="shared" si="28"/>
        <v/>
      </c>
      <c r="W125" t="str">
        <f t="shared" si="24"/>
        <v/>
      </c>
      <c r="X125" s="1196" t="str">
        <f t="shared" si="25"/>
        <v/>
      </c>
      <c r="AG125" t="str">
        <f t="shared" si="31"/>
        <v>NO</v>
      </c>
      <c r="AH125" t="str">
        <f t="shared" si="29"/>
        <v>NO</v>
      </c>
      <c r="AI125" t="str">
        <f t="shared" si="29"/>
        <v>NO</v>
      </c>
      <c r="AJ125" t="str">
        <f t="shared" si="29"/>
        <v>NO</v>
      </c>
      <c r="AK125" t="str">
        <f t="shared" si="29"/>
        <v>NO</v>
      </c>
      <c r="AL125" t="str">
        <f t="shared" si="29"/>
        <v/>
      </c>
      <c r="AN125" s="1196" t="str">
        <f t="shared" si="26"/>
        <v/>
      </c>
      <c r="BA125" s="1196" t="str">
        <f t="shared" si="27"/>
        <v/>
      </c>
    </row>
    <row r="126" spans="1:53" x14ac:dyDescent="0.35">
      <c r="A126" t="str">
        <f t="shared" si="32"/>
        <v>NO</v>
      </c>
      <c r="B126" t="str">
        <f t="shared" si="32"/>
        <v>NO</v>
      </c>
      <c r="C126" t="str">
        <f t="shared" si="32"/>
        <v>NO</v>
      </c>
      <c r="D126" t="str">
        <f t="shared" si="32"/>
        <v>NO</v>
      </c>
      <c r="E126" t="str">
        <f t="shared" si="32"/>
        <v>NO</v>
      </c>
      <c r="F126" t="str">
        <f t="shared" si="32"/>
        <v/>
      </c>
      <c r="H126" s="1196" t="str">
        <f t="shared" si="23"/>
        <v/>
      </c>
      <c r="Q126" t="str">
        <f t="shared" si="30"/>
        <v>NO</v>
      </c>
      <c r="R126" t="str">
        <f t="shared" si="28"/>
        <v>NO</v>
      </c>
      <c r="S126" t="str">
        <f t="shared" si="28"/>
        <v>NO</v>
      </c>
      <c r="T126" t="str">
        <f t="shared" si="28"/>
        <v>NO</v>
      </c>
      <c r="U126" t="str">
        <f t="shared" si="28"/>
        <v>NO</v>
      </c>
      <c r="V126" t="str">
        <f t="shared" si="28"/>
        <v/>
      </c>
      <c r="W126" t="str">
        <f t="shared" si="24"/>
        <v/>
      </c>
      <c r="X126" s="1196" t="str">
        <f t="shared" si="25"/>
        <v/>
      </c>
      <c r="AG126" t="str">
        <f t="shared" si="31"/>
        <v>NO</v>
      </c>
      <c r="AH126" t="str">
        <f t="shared" si="29"/>
        <v>NO</v>
      </c>
      <c r="AI126" t="str">
        <f t="shared" si="29"/>
        <v>NO</v>
      </c>
      <c r="AJ126" t="str">
        <f t="shared" si="29"/>
        <v>NO</v>
      </c>
      <c r="AK126" t="str">
        <f t="shared" si="29"/>
        <v>NO</v>
      </c>
      <c r="AL126" t="str">
        <f t="shared" si="29"/>
        <v/>
      </c>
      <c r="AN126" s="1196" t="str">
        <f t="shared" si="26"/>
        <v/>
      </c>
      <c r="BA126" s="1196" t="str">
        <f t="shared" si="27"/>
        <v/>
      </c>
    </row>
    <row r="127" spans="1:53" x14ac:dyDescent="0.35">
      <c r="A127" t="str">
        <f t="shared" si="32"/>
        <v>NO</v>
      </c>
      <c r="B127" t="str">
        <f t="shared" si="32"/>
        <v>NO</v>
      </c>
      <c r="C127" t="str">
        <f t="shared" si="32"/>
        <v>NO</v>
      </c>
      <c r="D127" t="str">
        <f t="shared" si="32"/>
        <v>NO</v>
      </c>
      <c r="E127" t="str">
        <f t="shared" si="32"/>
        <v>NO</v>
      </c>
      <c r="F127" t="str">
        <f t="shared" si="32"/>
        <v/>
      </c>
      <c r="H127" s="1196" t="str">
        <f t="shared" si="23"/>
        <v/>
      </c>
      <c r="Q127" t="str">
        <f t="shared" si="30"/>
        <v>NO</v>
      </c>
      <c r="R127" t="str">
        <f t="shared" si="28"/>
        <v>NO</v>
      </c>
      <c r="S127" t="str">
        <f t="shared" si="28"/>
        <v>NO</v>
      </c>
      <c r="T127" t="str">
        <f t="shared" si="28"/>
        <v>NO</v>
      </c>
      <c r="U127" t="str">
        <f t="shared" si="28"/>
        <v>NO</v>
      </c>
      <c r="V127" t="str">
        <f t="shared" si="28"/>
        <v/>
      </c>
      <c r="W127" t="str">
        <f t="shared" si="24"/>
        <v/>
      </c>
      <c r="X127" s="1196" t="str">
        <f t="shared" si="25"/>
        <v/>
      </c>
      <c r="AG127" t="str">
        <f t="shared" si="31"/>
        <v>NO</v>
      </c>
      <c r="AH127" t="str">
        <f t="shared" si="29"/>
        <v>NO</v>
      </c>
      <c r="AI127" t="str">
        <f t="shared" si="29"/>
        <v>NO</v>
      </c>
      <c r="AJ127" t="str">
        <f t="shared" si="29"/>
        <v>NO</v>
      </c>
      <c r="AK127" t="str">
        <f t="shared" si="29"/>
        <v>NO</v>
      </c>
      <c r="AL127" t="str">
        <f t="shared" si="29"/>
        <v/>
      </c>
      <c r="AN127" s="1196" t="str">
        <f t="shared" si="26"/>
        <v/>
      </c>
      <c r="BA127" s="1196" t="str">
        <f t="shared" si="27"/>
        <v/>
      </c>
    </row>
    <row r="128" spans="1:53" x14ac:dyDescent="0.35">
      <c r="A128" t="str">
        <f t="shared" si="32"/>
        <v>NO</v>
      </c>
      <c r="B128" t="str">
        <f t="shared" si="32"/>
        <v>NO</v>
      </c>
      <c r="C128" t="str">
        <f t="shared" si="32"/>
        <v>NO</v>
      </c>
      <c r="D128" t="str">
        <f t="shared" si="32"/>
        <v>NO</v>
      </c>
      <c r="E128" t="str">
        <f t="shared" si="32"/>
        <v>NO</v>
      </c>
      <c r="F128" t="str">
        <f t="shared" si="32"/>
        <v/>
      </c>
      <c r="H128" s="1196" t="str">
        <f t="shared" si="23"/>
        <v/>
      </c>
      <c r="Q128" t="str">
        <f t="shared" si="30"/>
        <v>NO</v>
      </c>
      <c r="R128" t="str">
        <f t="shared" si="28"/>
        <v>NO</v>
      </c>
      <c r="S128" t="str">
        <f t="shared" si="28"/>
        <v>NO</v>
      </c>
      <c r="T128" t="str">
        <f t="shared" si="28"/>
        <v>NO</v>
      </c>
      <c r="U128" t="str">
        <f t="shared" si="28"/>
        <v>NO</v>
      </c>
      <c r="V128" t="str">
        <f t="shared" si="28"/>
        <v/>
      </c>
      <c r="W128" t="str">
        <f t="shared" si="24"/>
        <v/>
      </c>
      <c r="X128" s="1196" t="str">
        <f t="shared" si="25"/>
        <v/>
      </c>
      <c r="AG128" t="str">
        <f t="shared" si="31"/>
        <v>NO</v>
      </c>
      <c r="AH128" t="str">
        <f t="shared" si="29"/>
        <v>NO</v>
      </c>
      <c r="AI128" t="str">
        <f t="shared" si="29"/>
        <v>NO</v>
      </c>
      <c r="AJ128" t="str">
        <f t="shared" si="29"/>
        <v>NO</v>
      </c>
      <c r="AK128" t="str">
        <f t="shared" si="29"/>
        <v>NO</v>
      </c>
      <c r="AL128" t="str">
        <f t="shared" si="29"/>
        <v/>
      </c>
      <c r="AN128" s="1196" t="str">
        <f t="shared" si="26"/>
        <v/>
      </c>
      <c r="BA128" s="1196" t="str">
        <f t="shared" si="27"/>
        <v/>
      </c>
    </row>
    <row r="129" spans="1:53" x14ac:dyDescent="0.35">
      <c r="A129" t="str">
        <f t="shared" si="32"/>
        <v>NO</v>
      </c>
      <c r="B129" t="str">
        <f t="shared" si="32"/>
        <v>NO</v>
      </c>
      <c r="C129" t="str">
        <f t="shared" si="32"/>
        <v>NO</v>
      </c>
      <c r="D129" t="str">
        <f t="shared" si="32"/>
        <v>NO</v>
      </c>
      <c r="E129" t="str">
        <f t="shared" si="32"/>
        <v>NO</v>
      </c>
      <c r="F129" t="str">
        <f t="shared" si="32"/>
        <v/>
      </c>
      <c r="H129" s="1196" t="str">
        <f t="shared" si="23"/>
        <v/>
      </c>
      <c r="Q129" t="str">
        <f t="shared" si="30"/>
        <v>NO</v>
      </c>
      <c r="R129" t="str">
        <f t="shared" si="28"/>
        <v>NO</v>
      </c>
      <c r="S129" t="str">
        <f t="shared" si="28"/>
        <v>NO</v>
      </c>
      <c r="T129" t="str">
        <f t="shared" si="28"/>
        <v>NO</v>
      </c>
      <c r="U129" t="str">
        <f t="shared" si="28"/>
        <v>NO</v>
      </c>
      <c r="V129" t="str">
        <f t="shared" si="28"/>
        <v/>
      </c>
      <c r="W129" t="str">
        <f t="shared" si="24"/>
        <v/>
      </c>
      <c r="X129" s="1196" t="str">
        <f t="shared" si="25"/>
        <v/>
      </c>
      <c r="AG129" t="str">
        <f t="shared" si="31"/>
        <v>NO</v>
      </c>
      <c r="AH129" t="str">
        <f t="shared" si="29"/>
        <v>NO</v>
      </c>
      <c r="AI129" t="str">
        <f t="shared" si="29"/>
        <v>NO</v>
      </c>
      <c r="AJ129" t="str">
        <f t="shared" si="29"/>
        <v>NO</v>
      </c>
      <c r="AK129" t="str">
        <f t="shared" si="29"/>
        <v>NO</v>
      </c>
      <c r="AL129" t="str">
        <f t="shared" si="29"/>
        <v/>
      </c>
      <c r="AN129" s="1196" t="str">
        <f t="shared" si="26"/>
        <v/>
      </c>
      <c r="BA129" s="1196" t="str">
        <f t="shared" si="27"/>
        <v/>
      </c>
    </row>
    <row r="130" spans="1:53" x14ac:dyDescent="0.35">
      <c r="A130" t="str">
        <f t="shared" si="32"/>
        <v>NO</v>
      </c>
      <c r="B130" t="str">
        <f t="shared" si="32"/>
        <v>NO</v>
      </c>
      <c r="C130" t="str">
        <f t="shared" si="32"/>
        <v>NO</v>
      </c>
      <c r="D130" t="str">
        <f t="shared" si="32"/>
        <v>NO</v>
      </c>
      <c r="E130" t="str">
        <f t="shared" si="32"/>
        <v>NO</v>
      </c>
      <c r="F130" t="str">
        <f t="shared" si="32"/>
        <v/>
      </c>
      <c r="H130" s="1196" t="str">
        <f t="shared" si="23"/>
        <v/>
      </c>
      <c r="Q130" t="str">
        <f t="shared" si="30"/>
        <v>NO</v>
      </c>
      <c r="R130" t="str">
        <f t="shared" si="28"/>
        <v>NO</v>
      </c>
      <c r="S130" t="str">
        <f t="shared" si="28"/>
        <v>NO</v>
      </c>
      <c r="T130" t="str">
        <f t="shared" si="28"/>
        <v>NO</v>
      </c>
      <c r="U130" t="str">
        <f t="shared" si="28"/>
        <v>NO</v>
      </c>
      <c r="V130" t="str">
        <f t="shared" si="28"/>
        <v/>
      </c>
      <c r="W130" t="str">
        <f t="shared" si="24"/>
        <v/>
      </c>
      <c r="X130" s="1196" t="str">
        <f t="shared" si="25"/>
        <v/>
      </c>
      <c r="AG130" t="str">
        <f t="shared" si="31"/>
        <v>NO</v>
      </c>
      <c r="AH130" t="str">
        <f t="shared" si="29"/>
        <v>NO</v>
      </c>
      <c r="AI130" t="str">
        <f t="shared" si="29"/>
        <v>NO</v>
      </c>
      <c r="AJ130" t="str">
        <f t="shared" si="29"/>
        <v>NO</v>
      </c>
      <c r="AK130" t="str">
        <f t="shared" si="29"/>
        <v>NO</v>
      </c>
      <c r="AL130" t="str">
        <f t="shared" si="29"/>
        <v/>
      </c>
      <c r="AN130" s="1196" t="str">
        <f t="shared" si="26"/>
        <v/>
      </c>
      <c r="BA130" s="1196" t="str">
        <f t="shared" si="27"/>
        <v/>
      </c>
    </row>
    <row r="131" spans="1:53" x14ac:dyDescent="0.35">
      <c r="A131" t="str">
        <f t="shared" si="32"/>
        <v>NO</v>
      </c>
      <c r="B131" t="str">
        <f t="shared" si="32"/>
        <v>NO</v>
      </c>
      <c r="C131" t="str">
        <f t="shared" si="32"/>
        <v>NO</v>
      </c>
      <c r="D131" t="str">
        <f t="shared" si="32"/>
        <v>NO</v>
      </c>
      <c r="E131" t="str">
        <f t="shared" si="32"/>
        <v>NO</v>
      </c>
      <c r="F131" t="str">
        <f t="shared" si="32"/>
        <v/>
      </c>
      <c r="H131" s="1196" t="str">
        <f t="shared" si="23"/>
        <v/>
      </c>
      <c r="Q131" t="str">
        <f t="shared" si="30"/>
        <v>NO</v>
      </c>
      <c r="R131" t="str">
        <f t="shared" si="28"/>
        <v>NO</v>
      </c>
      <c r="S131" t="str">
        <f t="shared" si="28"/>
        <v>NO</v>
      </c>
      <c r="T131" t="str">
        <f t="shared" si="28"/>
        <v>NO</v>
      </c>
      <c r="U131" t="str">
        <f t="shared" si="28"/>
        <v>NO</v>
      </c>
      <c r="V131" t="str">
        <f t="shared" si="28"/>
        <v/>
      </c>
      <c r="W131" t="str">
        <f t="shared" si="24"/>
        <v/>
      </c>
      <c r="X131" s="1196" t="str">
        <f t="shared" si="25"/>
        <v/>
      </c>
      <c r="AG131" t="str">
        <f t="shared" si="31"/>
        <v>NO</v>
      </c>
      <c r="AH131" t="str">
        <f t="shared" si="29"/>
        <v>NO</v>
      </c>
      <c r="AI131" t="str">
        <f t="shared" si="29"/>
        <v>NO</v>
      </c>
      <c r="AJ131" t="str">
        <f t="shared" si="29"/>
        <v>NO</v>
      </c>
      <c r="AK131" t="str">
        <f t="shared" si="29"/>
        <v>NO</v>
      </c>
      <c r="AL131" t="str">
        <f t="shared" si="29"/>
        <v/>
      </c>
      <c r="AN131" s="1196" t="str">
        <f t="shared" si="26"/>
        <v/>
      </c>
      <c r="BA131" s="1196" t="str">
        <f t="shared" si="27"/>
        <v/>
      </c>
    </row>
    <row r="132" spans="1:53" x14ac:dyDescent="0.35">
      <c r="A132" t="str">
        <f t="shared" si="32"/>
        <v>NO</v>
      </c>
      <c r="B132" t="str">
        <f t="shared" si="32"/>
        <v>NO</v>
      </c>
      <c r="C132" t="str">
        <f t="shared" si="32"/>
        <v>NO</v>
      </c>
      <c r="D132" t="str">
        <f t="shared" si="32"/>
        <v>NO</v>
      </c>
      <c r="E132" t="str">
        <f t="shared" si="32"/>
        <v>NO</v>
      </c>
      <c r="F132" t="str">
        <f t="shared" si="32"/>
        <v/>
      </c>
      <c r="H132" s="1196" t="str">
        <f t="shared" ref="H132:H195" si="33">_xlfn.CONCAT(I132,J132,)</f>
        <v/>
      </c>
      <c r="Q132" t="str">
        <f t="shared" si="30"/>
        <v>NO</v>
      </c>
      <c r="R132" t="str">
        <f t="shared" si="28"/>
        <v>NO</v>
      </c>
      <c r="S132" t="str">
        <f t="shared" si="28"/>
        <v>NO</v>
      </c>
      <c r="T132" t="str">
        <f t="shared" si="28"/>
        <v>NO</v>
      </c>
      <c r="U132" t="str">
        <f t="shared" si="28"/>
        <v>NO</v>
      </c>
      <c r="V132" t="str">
        <f t="shared" si="28"/>
        <v/>
      </c>
      <c r="W132" t="str">
        <f t="shared" ref="W132:W195" si="34">IF(AV132=W131,_xlfn.CONCAT(AE132,AU132))</f>
        <v/>
      </c>
      <c r="X132" s="1196" t="str">
        <f t="shared" ref="X132:X195" si="35">_xlfn.CONCAT(Y132,Z132,)</f>
        <v/>
      </c>
      <c r="AG132" t="str">
        <f t="shared" si="31"/>
        <v>NO</v>
      </c>
      <c r="AH132" t="str">
        <f t="shared" si="29"/>
        <v>NO</v>
      </c>
      <c r="AI132" t="str">
        <f t="shared" si="29"/>
        <v>NO</v>
      </c>
      <c r="AJ132" t="str">
        <f t="shared" si="29"/>
        <v>NO</v>
      </c>
      <c r="AK132" t="str">
        <f t="shared" si="29"/>
        <v>NO</v>
      </c>
      <c r="AL132" t="str">
        <f t="shared" si="29"/>
        <v/>
      </c>
      <c r="AN132" s="1196" t="str">
        <f t="shared" ref="AN132:AN195" si="36">_xlfn.CONCAT(AO132,AP132,)</f>
        <v/>
      </c>
      <c r="BA132" s="1196" t="str">
        <f t="shared" ref="BA132:BA195" si="37">+IF(AZ132="si",_xlfn.CONCAT(AY132,AX132),"")</f>
        <v/>
      </c>
    </row>
    <row r="133" spans="1:53" x14ac:dyDescent="0.35">
      <c r="A133" t="str">
        <f t="shared" si="32"/>
        <v>NO</v>
      </c>
      <c r="B133" t="str">
        <f t="shared" si="32"/>
        <v>NO</v>
      </c>
      <c r="C133" t="str">
        <f t="shared" si="32"/>
        <v>NO</v>
      </c>
      <c r="D133" t="str">
        <f t="shared" si="32"/>
        <v>NO</v>
      </c>
      <c r="E133" t="str">
        <f t="shared" si="32"/>
        <v>NO</v>
      </c>
      <c r="F133" t="str">
        <f t="shared" si="32"/>
        <v/>
      </c>
      <c r="H133" s="1196" t="str">
        <f t="shared" si="33"/>
        <v/>
      </c>
      <c r="Q133" t="str">
        <f t="shared" si="30"/>
        <v>NO</v>
      </c>
      <c r="R133" t="str">
        <f t="shared" si="28"/>
        <v>NO</v>
      </c>
      <c r="S133" t="str">
        <f t="shared" si="28"/>
        <v>NO</v>
      </c>
      <c r="T133" t="str">
        <f t="shared" si="28"/>
        <v>NO</v>
      </c>
      <c r="U133" t="str">
        <f t="shared" si="28"/>
        <v>NO</v>
      </c>
      <c r="V133" t="str">
        <f t="shared" si="28"/>
        <v/>
      </c>
      <c r="W133" t="str">
        <f t="shared" si="34"/>
        <v/>
      </c>
      <c r="X133" s="1196" t="str">
        <f t="shared" si="35"/>
        <v/>
      </c>
      <c r="AG133" t="str">
        <f t="shared" si="31"/>
        <v>NO</v>
      </c>
      <c r="AH133" t="str">
        <f t="shared" si="29"/>
        <v>NO</v>
      </c>
      <c r="AI133" t="str">
        <f t="shared" si="29"/>
        <v>NO</v>
      </c>
      <c r="AJ133" t="str">
        <f t="shared" si="29"/>
        <v>NO</v>
      </c>
      <c r="AK133" t="str">
        <f t="shared" si="29"/>
        <v>NO</v>
      </c>
      <c r="AL133" t="str">
        <f t="shared" si="29"/>
        <v/>
      </c>
      <c r="AN133" s="1196" t="str">
        <f t="shared" si="36"/>
        <v/>
      </c>
      <c r="BA133" s="1196" t="str">
        <f t="shared" si="37"/>
        <v/>
      </c>
    </row>
    <row r="134" spans="1:53" x14ac:dyDescent="0.35">
      <c r="A134" t="str">
        <f t="shared" si="32"/>
        <v>NO</v>
      </c>
      <c r="B134" t="str">
        <f t="shared" si="32"/>
        <v>NO</v>
      </c>
      <c r="C134" t="str">
        <f t="shared" si="32"/>
        <v>NO</v>
      </c>
      <c r="D134" t="str">
        <f t="shared" si="32"/>
        <v>NO</v>
      </c>
      <c r="E134" t="str">
        <f t="shared" si="32"/>
        <v>NO</v>
      </c>
      <c r="F134" t="str">
        <f t="shared" si="32"/>
        <v/>
      </c>
      <c r="H134" s="1196" t="str">
        <f t="shared" si="33"/>
        <v/>
      </c>
      <c r="Q134" t="str">
        <f t="shared" si="30"/>
        <v>NO</v>
      </c>
      <c r="R134" t="str">
        <f t="shared" si="28"/>
        <v>NO</v>
      </c>
      <c r="S134" t="str">
        <f t="shared" si="28"/>
        <v>NO</v>
      </c>
      <c r="T134" t="str">
        <f t="shared" si="28"/>
        <v>NO</v>
      </c>
      <c r="U134" t="str">
        <f t="shared" si="28"/>
        <v>NO</v>
      </c>
      <c r="V134" t="str">
        <f t="shared" si="28"/>
        <v/>
      </c>
      <c r="W134" t="str">
        <f t="shared" si="34"/>
        <v/>
      </c>
      <c r="X134" s="1196" t="str">
        <f t="shared" si="35"/>
        <v/>
      </c>
      <c r="AG134" t="str">
        <f t="shared" si="31"/>
        <v>NO</v>
      </c>
      <c r="AH134" t="str">
        <f t="shared" si="29"/>
        <v>NO</v>
      </c>
      <c r="AI134" t="str">
        <f t="shared" si="29"/>
        <v>NO</v>
      </c>
      <c r="AJ134" t="str">
        <f t="shared" si="29"/>
        <v>NO</v>
      </c>
      <c r="AK134" t="str">
        <f t="shared" si="29"/>
        <v>NO</v>
      </c>
      <c r="AL134" t="str">
        <f t="shared" si="29"/>
        <v/>
      </c>
      <c r="AN134" s="1196" t="str">
        <f t="shared" si="36"/>
        <v/>
      </c>
      <c r="BA134" s="1196" t="str">
        <f t="shared" si="37"/>
        <v/>
      </c>
    </row>
    <row r="135" spans="1:53" x14ac:dyDescent="0.35">
      <c r="A135" t="str">
        <f t="shared" si="32"/>
        <v>NO</v>
      </c>
      <c r="B135" t="str">
        <f t="shared" si="32"/>
        <v>NO</v>
      </c>
      <c r="C135" t="str">
        <f t="shared" si="32"/>
        <v>NO</v>
      </c>
      <c r="D135" t="str">
        <f t="shared" si="32"/>
        <v>NO</v>
      </c>
      <c r="E135" t="str">
        <f t="shared" si="32"/>
        <v>NO</v>
      </c>
      <c r="F135" t="str">
        <f t="shared" si="32"/>
        <v/>
      </c>
      <c r="H135" s="1196" t="str">
        <f t="shared" si="33"/>
        <v/>
      </c>
      <c r="Q135" t="str">
        <f t="shared" si="30"/>
        <v>NO</v>
      </c>
      <c r="R135" t="str">
        <f t="shared" si="28"/>
        <v>NO</v>
      </c>
      <c r="S135" t="str">
        <f t="shared" si="28"/>
        <v>NO</v>
      </c>
      <c r="T135" t="str">
        <f t="shared" si="28"/>
        <v>NO</v>
      </c>
      <c r="U135" t="str">
        <f t="shared" si="28"/>
        <v>NO</v>
      </c>
      <c r="V135" t="str">
        <f t="shared" si="28"/>
        <v/>
      </c>
      <c r="W135" t="str">
        <f t="shared" si="34"/>
        <v/>
      </c>
      <c r="X135" s="1196" t="str">
        <f t="shared" si="35"/>
        <v/>
      </c>
      <c r="AG135" t="str">
        <f t="shared" si="31"/>
        <v>NO</v>
      </c>
      <c r="AH135" t="str">
        <f t="shared" si="29"/>
        <v>NO</v>
      </c>
      <c r="AI135" t="str">
        <f t="shared" si="29"/>
        <v>NO</v>
      </c>
      <c r="AJ135" t="str">
        <f t="shared" si="29"/>
        <v>NO</v>
      </c>
      <c r="AK135" t="str">
        <f t="shared" si="29"/>
        <v>NO</v>
      </c>
      <c r="AL135" t="str">
        <f t="shared" si="29"/>
        <v/>
      </c>
      <c r="AN135" s="1196" t="str">
        <f t="shared" si="36"/>
        <v/>
      </c>
      <c r="BA135" s="1196" t="str">
        <f t="shared" si="37"/>
        <v/>
      </c>
    </row>
    <row r="136" spans="1:53" x14ac:dyDescent="0.35">
      <c r="A136" t="str">
        <f t="shared" si="32"/>
        <v>NO</v>
      </c>
      <c r="B136" t="str">
        <f t="shared" si="32"/>
        <v>NO</v>
      </c>
      <c r="C136" t="str">
        <f t="shared" si="32"/>
        <v>NO</v>
      </c>
      <c r="D136" t="str">
        <f t="shared" si="32"/>
        <v>NO</v>
      </c>
      <c r="E136" t="str">
        <f t="shared" si="32"/>
        <v>NO</v>
      </c>
      <c r="F136" t="str">
        <f t="shared" si="32"/>
        <v/>
      </c>
      <c r="H136" s="1196" t="str">
        <f t="shared" si="33"/>
        <v/>
      </c>
      <c r="Q136" t="str">
        <f t="shared" si="30"/>
        <v>NO</v>
      </c>
      <c r="R136" t="str">
        <f t="shared" si="28"/>
        <v>NO</v>
      </c>
      <c r="S136" t="str">
        <f t="shared" si="28"/>
        <v>NO</v>
      </c>
      <c r="T136" t="str">
        <f t="shared" si="28"/>
        <v>NO</v>
      </c>
      <c r="U136" t="str">
        <f t="shared" si="28"/>
        <v>NO</v>
      </c>
      <c r="V136" t="str">
        <f t="shared" si="28"/>
        <v/>
      </c>
      <c r="W136" t="str">
        <f t="shared" si="34"/>
        <v/>
      </c>
      <c r="X136" s="1196" t="str">
        <f t="shared" si="35"/>
        <v/>
      </c>
      <c r="AG136" t="str">
        <f t="shared" si="31"/>
        <v>NO</v>
      </c>
      <c r="AH136" t="str">
        <f t="shared" si="29"/>
        <v>NO</v>
      </c>
      <c r="AI136" t="str">
        <f t="shared" si="29"/>
        <v>NO</v>
      </c>
      <c r="AJ136" t="str">
        <f t="shared" si="29"/>
        <v>NO</v>
      </c>
      <c r="AK136" t="str">
        <f t="shared" si="29"/>
        <v>NO</v>
      </c>
      <c r="AL136" t="str">
        <f t="shared" si="29"/>
        <v/>
      </c>
      <c r="AN136" s="1196" t="str">
        <f t="shared" si="36"/>
        <v/>
      </c>
      <c r="BA136" s="1196" t="str">
        <f t="shared" si="37"/>
        <v/>
      </c>
    </row>
    <row r="137" spans="1:53" x14ac:dyDescent="0.35">
      <c r="A137" t="str">
        <f t="shared" si="32"/>
        <v>NO</v>
      </c>
      <c r="B137" t="str">
        <f t="shared" si="32"/>
        <v>NO</v>
      </c>
      <c r="C137" t="str">
        <f t="shared" si="32"/>
        <v>NO</v>
      </c>
      <c r="D137" t="str">
        <f t="shared" si="32"/>
        <v>NO</v>
      </c>
      <c r="E137" t="str">
        <f t="shared" si="32"/>
        <v>NO</v>
      </c>
      <c r="F137" t="str">
        <f t="shared" si="32"/>
        <v/>
      </c>
      <c r="H137" s="1196" t="str">
        <f t="shared" si="33"/>
        <v/>
      </c>
      <c r="Q137" t="str">
        <f t="shared" si="30"/>
        <v>NO</v>
      </c>
      <c r="R137" t="str">
        <f t="shared" si="28"/>
        <v>NO</v>
      </c>
      <c r="S137" t="str">
        <f t="shared" si="28"/>
        <v>NO</v>
      </c>
      <c r="T137" t="str">
        <f t="shared" si="28"/>
        <v>NO</v>
      </c>
      <c r="U137" t="str">
        <f t="shared" si="28"/>
        <v>NO</v>
      </c>
      <c r="V137" t="str">
        <f t="shared" si="28"/>
        <v/>
      </c>
      <c r="W137" t="str">
        <f t="shared" si="34"/>
        <v/>
      </c>
      <c r="X137" s="1196" t="str">
        <f t="shared" si="35"/>
        <v/>
      </c>
      <c r="AG137" t="str">
        <f t="shared" si="31"/>
        <v>NO</v>
      </c>
      <c r="AH137" t="str">
        <f t="shared" si="29"/>
        <v>NO</v>
      </c>
      <c r="AI137" t="str">
        <f t="shared" si="29"/>
        <v>NO</v>
      </c>
      <c r="AJ137" t="str">
        <f t="shared" si="29"/>
        <v>NO</v>
      </c>
      <c r="AK137" t="str">
        <f t="shared" si="29"/>
        <v>NO</v>
      </c>
      <c r="AL137" t="str">
        <f t="shared" si="29"/>
        <v/>
      </c>
      <c r="AN137" s="1196" t="str">
        <f t="shared" si="36"/>
        <v/>
      </c>
      <c r="BA137" s="1196" t="str">
        <f t="shared" si="37"/>
        <v/>
      </c>
    </row>
    <row r="138" spans="1:53" x14ac:dyDescent="0.35">
      <c r="A138" t="str">
        <f t="shared" si="32"/>
        <v>NO</v>
      </c>
      <c r="B138" t="str">
        <f t="shared" si="32"/>
        <v>NO</v>
      </c>
      <c r="C138" t="str">
        <f t="shared" si="32"/>
        <v>NO</v>
      </c>
      <c r="D138" t="str">
        <f t="shared" si="32"/>
        <v>NO</v>
      </c>
      <c r="E138" t="str">
        <f t="shared" si="32"/>
        <v>NO</v>
      </c>
      <c r="F138" t="str">
        <f t="shared" si="32"/>
        <v/>
      </c>
      <c r="H138" s="1196" t="str">
        <f t="shared" si="33"/>
        <v/>
      </c>
      <c r="Q138" t="str">
        <f t="shared" si="30"/>
        <v>NO</v>
      </c>
      <c r="R138" t="str">
        <f t="shared" si="28"/>
        <v>NO</v>
      </c>
      <c r="S138" t="str">
        <f t="shared" si="28"/>
        <v>NO</v>
      </c>
      <c r="T138" t="str">
        <f t="shared" si="28"/>
        <v>NO</v>
      </c>
      <c r="U138" t="str">
        <f t="shared" si="28"/>
        <v>NO</v>
      </c>
      <c r="V138" t="str">
        <f t="shared" si="28"/>
        <v/>
      </c>
      <c r="W138" t="str">
        <f t="shared" si="34"/>
        <v/>
      </c>
      <c r="X138" s="1196" t="str">
        <f t="shared" si="35"/>
        <v/>
      </c>
      <c r="AG138" t="str">
        <f t="shared" si="31"/>
        <v>NO</v>
      </c>
      <c r="AH138" t="str">
        <f t="shared" si="29"/>
        <v>NO</v>
      </c>
      <c r="AI138" t="str">
        <f t="shared" si="29"/>
        <v>NO</v>
      </c>
      <c r="AJ138" t="str">
        <f t="shared" si="29"/>
        <v>NO</v>
      </c>
      <c r="AK138" t="str">
        <f t="shared" si="29"/>
        <v>NO</v>
      </c>
      <c r="AL138" t="str">
        <f t="shared" si="29"/>
        <v/>
      </c>
      <c r="AN138" s="1196" t="str">
        <f t="shared" si="36"/>
        <v/>
      </c>
      <c r="BA138" s="1196" t="str">
        <f t="shared" si="37"/>
        <v/>
      </c>
    </row>
    <row r="139" spans="1:53" x14ac:dyDescent="0.35">
      <c r="A139" t="str">
        <f t="shared" si="32"/>
        <v>NO</v>
      </c>
      <c r="B139" t="str">
        <f t="shared" si="32"/>
        <v>NO</v>
      </c>
      <c r="C139" t="str">
        <f t="shared" si="32"/>
        <v>NO</v>
      </c>
      <c r="D139" t="str">
        <f t="shared" si="32"/>
        <v>NO</v>
      </c>
      <c r="E139" t="str">
        <f t="shared" si="32"/>
        <v>NO</v>
      </c>
      <c r="F139" t="str">
        <f t="shared" si="32"/>
        <v/>
      </c>
      <c r="H139" s="1196" t="str">
        <f t="shared" si="33"/>
        <v/>
      </c>
      <c r="Q139" t="str">
        <f t="shared" si="30"/>
        <v>NO</v>
      </c>
      <c r="R139" t="str">
        <f t="shared" si="28"/>
        <v>NO</v>
      </c>
      <c r="S139" t="str">
        <f t="shared" si="28"/>
        <v>NO</v>
      </c>
      <c r="T139" t="str">
        <f t="shared" si="28"/>
        <v>NO</v>
      </c>
      <c r="U139" t="str">
        <f t="shared" si="28"/>
        <v>NO</v>
      </c>
      <c r="V139" t="str">
        <f t="shared" si="28"/>
        <v/>
      </c>
      <c r="W139" t="str">
        <f t="shared" si="34"/>
        <v/>
      </c>
      <c r="X139" s="1196" t="str">
        <f t="shared" si="35"/>
        <v/>
      </c>
      <c r="AG139" t="str">
        <f t="shared" si="31"/>
        <v>NO</v>
      </c>
      <c r="AH139" t="str">
        <f t="shared" si="29"/>
        <v>NO</v>
      </c>
      <c r="AI139" t="str">
        <f t="shared" si="29"/>
        <v>NO</v>
      </c>
      <c r="AJ139" t="str">
        <f t="shared" si="29"/>
        <v>NO</v>
      </c>
      <c r="AK139" t="str">
        <f t="shared" si="29"/>
        <v>NO</v>
      </c>
      <c r="AL139" t="str">
        <f t="shared" si="29"/>
        <v/>
      </c>
      <c r="AN139" s="1196" t="str">
        <f t="shared" si="36"/>
        <v/>
      </c>
      <c r="BA139" s="1196" t="str">
        <f t="shared" si="37"/>
        <v/>
      </c>
    </row>
    <row r="140" spans="1:53" x14ac:dyDescent="0.35">
      <c r="A140" t="str">
        <f t="shared" si="32"/>
        <v>NO</v>
      </c>
      <c r="B140" t="str">
        <f t="shared" si="32"/>
        <v>NO</v>
      </c>
      <c r="C140" t="str">
        <f t="shared" si="32"/>
        <v>NO</v>
      </c>
      <c r="D140" t="str">
        <f t="shared" si="32"/>
        <v>NO</v>
      </c>
      <c r="E140" t="str">
        <f t="shared" si="32"/>
        <v>NO</v>
      </c>
      <c r="F140" t="str">
        <f t="shared" si="32"/>
        <v/>
      </c>
      <c r="H140" s="1196" t="str">
        <f t="shared" si="33"/>
        <v/>
      </c>
      <c r="Q140" t="str">
        <f t="shared" si="30"/>
        <v>NO</v>
      </c>
      <c r="R140" t="str">
        <f t="shared" si="28"/>
        <v>NO</v>
      </c>
      <c r="S140" t="str">
        <f t="shared" si="28"/>
        <v>NO</v>
      </c>
      <c r="T140" t="str">
        <f t="shared" si="28"/>
        <v>NO</v>
      </c>
      <c r="U140" t="str">
        <f t="shared" si="28"/>
        <v>NO</v>
      </c>
      <c r="V140" t="str">
        <f t="shared" si="28"/>
        <v/>
      </c>
      <c r="W140" t="str">
        <f t="shared" si="34"/>
        <v/>
      </c>
      <c r="X140" s="1196" t="str">
        <f t="shared" si="35"/>
        <v/>
      </c>
      <c r="AG140" t="str">
        <f t="shared" si="31"/>
        <v>NO</v>
      </c>
      <c r="AH140" t="str">
        <f t="shared" si="29"/>
        <v>NO</v>
      </c>
      <c r="AI140" t="str">
        <f t="shared" si="29"/>
        <v>NO</v>
      </c>
      <c r="AJ140" t="str">
        <f t="shared" si="29"/>
        <v>NO</v>
      </c>
      <c r="AK140" t="str">
        <f t="shared" si="29"/>
        <v>NO</v>
      </c>
      <c r="AL140" t="str">
        <f t="shared" si="29"/>
        <v/>
      </c>
      <c r="AN140" s="1196" t="str">
        <f t="shared" si="36"/>
        <v/>
      </c>
      <c r="BA140" s="1196" t="str">
        <f t="shared" si="37"/>
        <v/>
      </c>
    </row>
    <row r="141" spans="1:53" x14ac:dyDescent="0.35">
      <c r="A141" t="str">
        <f t="shared" si="32"/>
        <v>NO</v>
      </c>
      <c r="B141" t="str">
        <f t="shared" si="32"/>
        <v>NO</v>
      </c>
      <c r="C141" t="str">
        <f t="shared" si="32"/>
        <v>NO</v>
      </c>
      <c r="D141" t="str">
        <f t="shared" si="32"/>
        <v>NO</v>
      </c>
      <c r="E141" t="str">
        <f t="shared" si="32"/>
        <v>NO</v>
      </c>
      <c r="F141" t="str">
        <f t="shared" si="32"/>
        <v/>
      </c>
      <c r="H141" s="1196" t="str">
        <f t="shared" si="33"/>
        <v/>
      </c>
      <c r="Q141" t="str">
        <f t="shared" si="30"/>
        <v>NO</v>
      </c>
      <c r="R141" t="str">
        <f t="shared" si="28"/>
        <v>NO</v>
      </c>
      <c r="S141" t="str">
        <f t="shared" si="28"/>
        <v>NO</v>
      </c>
      <c r="T141" t="str">
        <f t="shared" si="28"/>
        <v>NO</v>
      </c>
      <c r="U141" t="str">
        <f t="shared" si="28"/>
        <v>NO</v>
      </c>
      <c r="V141" t="str">
        <f t="shared" si="28"/>
        <v/>
      </c>
      <c r="W141" t="str">
        <f t="shared" si="34"/>
        <v/>
      </c>
      <c r="X141" s="1196" t="str">
        <f t="shared" si="35"/>
        <v/>
      </c>
      <c r="AG141" t="str">
        <f t="shared" si="31"/>
        <v>NO</v>
      </c>
      <c r="AH141" t="str">
        <f t="shared" si="29"/>
        <v>NO</v>
      </c>
      <c r="AI141" t="str">
        <f t="shared" si="29"/>
        <v>NO</v>
      </c>
      <c r="AJ141" t="str">
        <f t="shared" si="29"/>
        <v>NO</v>
      </c>
      <c r="AK141" t="str">
        <f t="shared" si="29"/>
        <v>NO</v>
      </c>
      <c r="AL141" t="str">
        <f t="shared" si="29"/>
        <v/>
      </c>
      <c r="AN141" s="1196" t="str">
        <f t="shared" si="36"/>
        <v/>
      </c>
      <c r="BA141" s="1196" t="str">
        <f t="shared" si="37"/>
        <v/>
      </c>
    </row>
    <row r="142" spans="1:53" x14ac:dyDescent="0.35">
      <c r="A142" t="str">
        <f t="shared" si="32"/>
        <v>NO</v>
      </c>
      <c r="B142" t="str">
        <f t="shared" si="32"/>
        <v>NO</v>
      </c>
      <c r="C142" t="str">
        <f t="shared" si="32"/>
        <v>NO</v>
      </c>
      <c r="D142" t="str">
        <f t="shared" si="32"/>
        <v>NO</v>
      </c>
      <c r="E142" t="str">
        <f t="shared" si="32"/>
        <v>NO</v>
      </c>
      <c r="F142" t="str">
        <f t="shared" si="32"/>
        <v/>
      </c>
      <c r="H142" s="1196" t="str">
        <f t="shared" si="33"/>
        <v/>
      </c>
      <c r="Q142" t="str">
        <f t="shared" si="30"/>
        <v>NO</v>
      </c>
      <c r="R142" t="str">
        <f t="shared" si="28"/>
        <v>NO</v>
      </c>
      <c r="S142" t="str">
        <f t="shared" si="28"/>
        <v>NO</v>
      </c>
      <c r="T142" t="str">
        <f t="shared" si="28"/>
        <v>NO</v>
      </c>
      <c r="U142" t="str">
        <f t="shared" si="28"/>
        <v>NO</v>
      </c>
      <c r="V142" t="str">
        <f t="shared" si="28"/>
        <v/>
      </c>
      <c r="W142" t="str">
        <f t="shared" si="34"/>
        <v/>
      </c>
      <c r="X142" s="1196" t="str">
        <f t="shared" si="35"/>
        <v/>
      </c>
      <c r="AG142" t="str">
        <f t="shared" si="31"/>
        <v>NO</v>
      </c>
      <c r="AH142" t="str">
        <f t="shared" si="29"/>
        <v>NO</v>
      </c>
      <c r="AI142" t="str">
        <f t="shared" si="29"/>
        <v>NO</v>
      </c>
      <c r="AJ142" t="str">
        <f t="shared" si="29"/>
        <v>NO</v>
      </c>
      <c r="AK142" t="str">
        <f t="shared" si="29"/>
        <v>NO</v>
      </c>
      <c r="AL142" t="str">
        <f t="shared" si="29"/>
        <v/>
      </c>
      <c r="AN142" s="1196" t="str">
        <f t="shared" si="36"/>
        <v/>
      </c>
      <c r="BA142" s="1196" t="str">
        <f t="shared" si="37"/>
        <v/>
      </c>
    </row>
    <row r="143" spans="1:53" x14ac:dyDescent="0.35">
      <c r="A143" t="str">
        <f t="shared" si="32"/>
        <v>NO</v>
      </c>
      <c r="B143" t="str">
        <f t="shared" si="32"/>
        <v>NO</v>
      </c>
      <c r="C143" t="str">
        <f t="shared" si="32"/>
        <v>NO</v>
      </c>
      <c r="D143" t="str">
        <f t="shared" si="32"/>
        <v>NO</v>
      </c>
      <c r="E143" t="str">
        <f t="shared" si="32"/>
        <v>NO</v>
      </c>
      <c r="F143" t="str">
        <f t="shared" si="32"/>
        <v/>
      </c>
      <c r="H143" s="1196" t="str">
        <f t="shared" si="33"/>
        <v/>
      </c>
      <c r="Q143" t="str">
        <f t="shared" si="30"/>
        <v>NO</v>
      </c>
      <c r="R143" t="str">
        <f t="shared" si="28"/>
        <v>NO</v>
      </c>
      <c r="S143" t="str">
        <f t="shared" si="28"/>
        <v>NO</v>
      </c>
      <c r="T143" t="str">
        <f t="shared" si="28"/>
        <v>NO</v>
      </c>
      <c r="U143" t="str">
        <f t="shared" si="28"/>
        <v>NO</v>
      </c>
      <c r="V143" t="str">
        <f t="shared" si="28"/>
        <v/>
      </c>
      <c r="W143" t="str">
        <f t="shared" si="34"/>
        <v/>
      </c>
      <c r="X143" s="1196" t="str">
        <f t="shared" si="35"/>
        <v/>
      </c>
      <c r="AG143" t="str">
        <f t="shared" si="31"/>
        <v>NO</v>
      </c>
      <c r="AH143" t="str">
        <f t="shared" si="29"/>
        <v>NO</v>
      </c>
      <c r="AI143" t="str">
        <f t="shared" si="29"/>
        <v>NO</v>
      </c>
      <c r="AJ143" t="str">
        <f t="shared" si="29"/>
        <v>NO</v>
      </c>
      <c r="AK143" t="str">
        <f t="shared" si="29"/>
        <v>NO</v>
      </c>
      <c r="AL143" t="str">
        <f t="shared" si="29"/>
        <v/>
      </c>
      <c r="AN143" s="1196" t="str">
        <f t="shared" si="36"/>
        <v/>
      </c>
      <c r="BA143" s="1196" t="str">
        <f t="shared" si="37"/>
        <v/>
      </c>
    </row>
    <row r="144" spans="1:53" x14ac:dyDescent="0.35">
      <c r="A144" t="str">
        <f t="shared" si="32"/>
        <v>NO</v>
      </c>
      <c r="B144" t="str">
        <f t="shared" si="32"/>
        <v>NO</v>
      </c>
      <c r="C144" t="str">
        <f t="shared" si="32"/>
        <v>NO</v>
      </c>
      <c r="D144" t="str">
        <f t="shared" si="32"/>
        <v>NO</v>
      </c>
      <c r="E144" t="str">
        <f t="shared" si="32"/>
        <v>NO</v>
      </c>
      <c r="F144" t="str">
        <f t="shared" si="32"/>
        <v/>
      </c>
      <c r="H144" s="1196" t="str">
        <f t="shared" si="33"/>
        <v/>
      </c>
      <c r="Q144" t="str">
        <f t="shared" si="30"/>
        <v>NO</v>
      </c>
      <c r="R144" t="str">
        <f t="shared" si="28"/>
        <v>NO</v>
      </c>
      <c r="S144" t="str">
        <f t="shared" si="28"/>
        <v>NO</v>
      </c>
      <c r="T144" t="str">
        <f t="shared" si="28"/>
        <v>NO</v>
      </c>
      <c r="U144" t="str">
        <f t="shared" si="28"/>
        <v>NO</v>
      </c>
      <c r="V144" t="str">
        <f t="shared" si="28"/>
        <v/>
      </c>
      <c r="W144" t="str">
        <f t="shared" si="34"/>
        <v/>
      </c>
      <c r="X144" s="1196" t="str">
        <f t="shared" si="35"/>
        <v/>
      </c>
      <c r="AG144" t="str">
        <f t="shared" si="31"/>
        <v>NO</v>
      </c>
      <c r="AH144" t="str">
        <f t="shared" si="29"/>
        <v>NO</v>
      </c>
      <c r="AI144" t="str">
        <f t="shared" si="29"/>
        <v>NO</v>
      </c>
      <c r="AJ144" t="str">
        <f t="shared" si="29"/>
        <v>NO</v>
      </c>
      <c r="AK144" t="str">
        <f t="shared" si="29"/>
        <v>NO</v>
      </c>
      <c r="AL144" t="str">
        <f t="shared" si="29"/>
        <v/>
      </c>
      <c r="AN144" s="1196" t="str">
        <f t="shared" si="36"/>
        <v/>
      </c>
      <c r="BA144" s="1196" t="str">
        <f t="shared" si="37"/>
        <v/>
      </c>
    </row>
    <row r="145" spans="1:53" x14ac:dyDescent="0.35">
      <c r="A145" t="str">
        <f t="shared" si="32"/>
        <v>NO</v>
      </c>
      <c r="B145" t="str">
        <f t="shared" si="32"/>
        <v>NO</v>
      </c>
      <c r="C145" t="str">
        <f t="shared" si="32"/>
        <v>NO</v>
      </c>
      <c r="D145" t="str">
        <f t="shared" si="32"/>
        <v>NO</v>
      </c>
      <c r="E145" t="str">
        <f t="shared" si="32"/>
        <v>NO</v>
      </c>
      <c r="F145" t="str">
        <f t="shared" si="32"/>
        <v/>
      </c>
      <c r="H145" s="1196" t="str">
        <f t="shared" si="33"/>
        <v/>
      </c>
      <c r="Q145" t="str">
        <f t="shared" si="30"/>
        <v>NO</v>
      </c>
      <c r="R145" t="str">
        <f t="shared" si="28"/>
        <v>NO</v>
      </c>
      <c r="S145" t="str">
        <f t="shared" si="28"/>
        <v>NO</v>
      </c>
      <c r="T145" t="str">
        <f t="shared" si="28"/>
        <v>NO</v>
      </c>
      <c r="U145" t="str">
        <f t="shared" si="28"/>
        <v>NO</v>
      </c>
      <c r="V145" t="str">
        <f t="shared" si="28"/>
        <v/>
      </c>
      <c r="W145" t="str">
        <f t="shared" si="34"/>
        <v/>
      </c>
      <c r="X145" s="1196" t="str">
        <f t="shared" si="35"/>
        <v/>
      </c>
      <c r="AG145" t="str">
        <f t="shared" si="31"/>
        <v>NO</v>
      </c>
      <c r="AH145" t="str">
        <f t="shared" si="29"/>
        <v>NO</v>
      </c>
      <c r="AI145" t="str">
        <f t="shared" si="29"/>
        <v>NO</v>
      </c>
      <c r="AJ145" t="str">
        <f t="shared" si="29"/>
        <v>NO</v>
      </c>
      <c r="AK145" t="str">
        <f t="shared" si="29"/>
        <v>NO</v>
      </c>
      <c r="AL145" t="str">
        <f t="shared" si="29"/>
        <v/>
      </c>
      <c r="AN145" s="1196" t="str">
        <f t="shared" si="36"/>
        <v/>
      </c>
      <c r="BA145" s="1196" t="str">
        <f t="shared" si="37"/>
        <v/>
      </c>
    </row>
    <row r="146" spans="1:53" x14ac:dyDescent="0.35">
      <c r="A146" t="str">
        <f t="shared" si="32"/>
        <v>NO</v>
      </c>
      <c r="B146" t="str">
        <f t="shared" si="32"/>
        <v>NO</v>
      </c>
      <c r="C146" t="str">
        <f t="shared" si="32"/>
        <v>NO</v>
      </c>
      <c r="D146" t="str">
        <f t="shared" si="32"/>
        <v>NO</v>
      </c>
      <c r="E146" t="str">
        <f t="shared" si="32"/>
        <v>NO</v>
      </c>
      <c r="F146" t="str">
        <f t="shared" si="32"/>
        <v/>
      </c>
      <c r="H146" s="1196" t="str">
        <f t="shared" si="33"/>
        <v/>
      </c>
      <c r="Q146" t="str">
        <f t="shared" si="30"/>
        <v>NO</v>
      </c>
      <c r="R146" t="str">
        <f t="shared" si="28"/>
        <v>NO</v>
      </c>
      <c r="S146" t="str">
        <f t="shared" si="28"/>
        <v>NO</v>
      </c>
      <c r="T146" t="str">
        <f t="shared" si="28"/>
        <v>NO</v>
      </c>
      <c r="U146" t="str">
        <f t="shared" si="28"/>
        <v>NO</v>
      </c>
      <c r="V146" t="str">
        <f t="shared" si="28"/>
        <v/>
      </c>
      <c r="W146" t="str">
        <f t="shared" si="34"/>
        <v/>
      </c>
      <c r="X146" s="1196" t="str">
        <f t="shared" si="35"/>
        <v/>
      </c>
      <c r="AG146" t="str">
        <f t="shared" si="31"/>
        <v>NO</v>
      </c>
      <c r="AH146" t="str">
        <f t="shared" si="29"/>
        <v>NO</v>
      </c>
      <c r="AI146" t="str">
        <f t="shared" si="29"/>
        <v>NO</v>
      </c>
      <c r="AJ146" t="str">
        <f t="shared" si="29"/>
        <v>NO</v>
      </c>
      <c r="AK146" t="str">
        <f t="shared" si="29"/>
        <v>NO</v>
      </c>
      <c r="AL146" t="str">
        <f t="shared" si="29"/>
        <v/>
      </c>
      <c r="AN146" s="1196" t="str">
        <f t="shared" si="36"/>
        <v/>
      </c>
      <c r="BA146" s="1196" t="str">
        <f t="shared" si="37"/>
        <v/>
      </c>
    </row>
    <row r="147" spans="1:53" x14ac:dyDescent="0.35">
      <c r="A147" t="str">
        <f t="shared" si="32"/>
        <v>NO</v>
      </c>
      <c r="B147" t="str">
        <f t="shared" si="32"/>
        <v>NO</v>
      </c>
      <c r="C147" t="str">
        <f t="shared" si="32"/>
        <v>NO</v>
      </c>
      <c r="D147" t="str">
        <f t="shared" si="32"/>
        <v>NO</v>
      </c>
      <c r="E147" t="str">
        <f t="shared" si="32"/>
        <v>NO</v>
      </c>
      <c r="F147" t="str">
        <f t="shared" si="32"/>
        <v/>
      </c>
      <c r="H147" s="1196" t="str">
        <f t="shared" si="33"/>
        <v/>
      </c>
      <c r="Q147" t="str">
        <f t="shared" si="30"/>
        <v>NO</v>
      </c>
      <c r="R147" t="str">
        <f t="shared" si="28"/>
        <v>NO</v>
      </c>
      <c r="S147" t="str">
        <f t="shared" si="28"/>
        <v>NO</v>
      </c>
      <c r="T147" t="str">
        <f t="shared" si="28"/>
        <v>NO</v>
      </c>
      <c r="U147" t="str">
        <f t="shared" si="28"/>
        <v>NO</v>
      </c>
      <c r="V147" t="str">
        <f t="shared" si="28"/>
        <v/>
      </c>
      <c r="W147" t="str">
        <f t="shared" si="34"/>
        <v/>
      </c>
      <c r="X147" s="1196" t="str">
        <f t="shared" si="35"/>
        <v/>
      </c>
      <c r="AG147" t="str">
        <f t="shared" si="31"/>
        <v>NO</v>
      </c>
      <c r="AH147" t="str">
        <f t="shared" si="29"/>
        <v>NO</v>
      </c>
      <c r="AI147" t="str">
        <f t="shared" si="29"/>
        <v>NO</v>
      </c>
      <c r="AJ147" t="str">
        <f t="shared" si="29"/>
        <v>NO</v>
      </c>
      <c r="AK147" t="str">
        <f t="shared" si="29"/>
        <v>NO</v>
      </c>
      <c r="AL147" t="str">
        <f t="shared" si="29"/>
        <v/>
      </c>
      <c r="AN147" s="1196" t="str">
        <f t="shared" si="36"/>
        <v/>
      </c>
      <c r="BA147" s="1196" t="str">
        <f t="shared" si="37"/>
        <v/>
      </c>
    </row>
    <row r="148" spans="1:53" x14ac:dyDescent="0.35">
      <c r="A148" t="str">
        <f t="shared" si="32"/>
        <v>NO</v>
      </c>
      <c r="B148" t="str">
        <f t="shared" si="32"/>
        <v>NO</v>
      </c>
      <c r="C148" t="str">
        <f t="shared" si="32"/>
        <v>NO</v>
      </c>
      <c r="D148" t="str">
        <f t="shared" si="32"/>
        <v>NO</v>
      </c>
      <c r="E148" t="str">
        <f t="shared" si="32"/>
        <v>NO</v>
      </c>
      <c r="F148" t="str">
        <f t="shared" si="32"/>
        <v/>
      </c>
      <c r="H148" s="1196" t="str">
        <f t="shared" si="33"/>
        <v/>
      </c>
      <c r="Q148" t="str">
        <f t="shared" si="30"/>
        <v>NO</v>
      </c>
      <c r="R148" t="str">
        <f t="shared" si="28"/>
        <v>NO</v>
      </c>
      <c r="S148" t="str">
        <f t="shared" si="28"/>
        <v>NO</v>
      </c>
      <c r="T148" t="str">
        <f t="shared" si="28"/>
        <v>NO</v>
      </c>
      <c r="U148" t="str">
        <f t="shared" si="28"/>
        <v>NO</v>
      </c>
      <c r="V148" t="str">
        <f t="shared" si="28"/>
        <v/>
      </c>
      <c r="W148" t="str">
        <f t="shared" si="34"/>
        <v/>
      </c>
      <c r="X148" s="1196" t="str">
        <f t="shared" si="35"/>
        <v/>
      </c>
      <c r="AG148" t="str">
        <f t="shared" si="31"/>
        <v>NO</v>
      </c>
      <c r="AH148" t="str">
        <f t="shared" si="29"/>
        <v>NO</v>
      </c>
      <c r="AI148" t="str">
        <f t="shared" si="29"/>
        <v>NO</v>
      </c>
      <c r="AJ148" t="str">
        <f t="shared" si="29"/>
        <v>NO</v>
      </c>
      <c r="AK148" t="str">
        <f t="shared" si="29"/>
        <v>NO</v>
      </c>
      <c r="AL148" t="str">
        <f t="shared" si="29"/>
        <v/>
      </c>
      <c r="AN148" s="1196" t="str">
        <f t="shared" si="36"/>
        <v/>
      </c>
      <c r="BA148" s="1196" t="str">
        <f t="shared" si="37"/>
        <v/>
      </c>
    </row>
    <row r="149" spans="1:53" x14ac:dyDescent="0.35">
      <c r="A149" t="str">
        <f t="shared" si="32"/>
        <v>NO</v>
      </c>
      <c r="B149" t="str">
        <f t="shared" si="32"/>
        <v>NO</v>
      </c>
      <c r="C149" t="str">
        <f t="shared" si="32"/>
        <v>NO</v>
      </c>
      <c r="D149" t="str">
        <f t="shared" si="32"/>
        <v>NO</v>
      </c>
      <c r="E149" t="str">
        <f t="shared" si="32"/>
        <v>NO</v>
      </c>
      <c r="F149" t="str">
        <f t="shared" si="32"/>
        <v/>
      </c>
      <c r="H149" s="1196" t="str">
        <f t="shared" si="33"/>
        <v/>
      </c>
      <c r="Q149" t="str">
        <f t="shared" si="30"/>
        <v>NO</v>
      </c>
      <c r="R149" t="str">
        <f t="shared" si="28"/>
        <v>NO</v>
      </c>
      <c r="S149" t="str">
        <f t="shared" si="28"/>
        <v>NO</v>
      </c>
      <c r="T149" t="str">
        <f t="shared" si="28"/>
        <v>NO</v>
      </c>
      <c r="U149" t="str">
        <f t="shared" si="28"/>
        <v>NO</v>
      </c>
      <c r="V149" t="str">
        <f t="shared" si="28"/>
        <v/>
      </c>
      <c r="W149" t="str">
        <f t="shared" si="34"/>
        <v/>
      </c>
      <c r="X149" s="1196" t="str">
        <f t="shared" si="35"/>
        <v/>
      </c>
      <c r="AG149" t="str">
        <f t="shared" si="31"/>
        <v>NO</v>
      </c>
      <c r="AH149" t="str">
        <f t="shared" si="29"/>
        <v>NO</v>
      </c>
      <c r="AI149" t="str">
        <f t="shared" si="29"/>
        <v>NO</v>
      </c>
      <c r="AJ149" t="str">
        <f t="shared" si="29"/>
        <v>NO</v>
      </c>
      <c r="AK149" t="str">
        <f t="shared" si="29"/>
        <v>NO</v>
      </c>
      <c r="AL149" t="str">
        <f t="shared" si="29"/>
        <v/>
      </c>
      <c r="AN149" s="1196" t="str">
        <f t="shared" si="36"/>
        <v/>
      </c>
      <c r="BA149" s="1196" t="str">
        <f t="shared" si="37"/>
        <v/>
      </c>
    </row>
    <row r="150" spans="1:53" x14ac:dyDescent="0.35">
      <c r="A150" t="str">
        <f t="shared" si="32"/>
        <v>NO</v>
      </c>
      <c r="B150" t="str">
        <f t="shared" si="32"/>
        <v>NO</v>
      </c>
      <c r="C150" t="str">
        <f t="shared" si="32"/>
        <v>NO</v>
      </c>
      <c r="D150" t="str">
        <f t="shared" si="32"/>
        <v>NO</v>
      </c>
      <c r="E150" t="str">
        <f t="shared" si="32"/>
        <v>NO</v>
      </c>
      <c r="F150" t="str">
        <f t="shared" si="32"/>
        <v/>
      </c>
      <c r="H150" s="1196" t="str">
        <f t="shared" si="33"/>
        <v/>
      </c>
      <c r="Q150" t="str">
        <f t="shared" si="30"/>
        <v>NO</v>
      </c>
      <c r="R150" t="str">
        <f t="shared" si="28"/>
        <v>NO</v>
      </c>
      <c r="S150" t="str">
        <f t="shared" si="28"/>
        <v>NO</v>
      </c>
      <c r="T150" t="str">
        <f t="shared" si="28"/>
        <v>NO</v>
      </c>
      <c r="U150" t="str">
        <f t="shared" si="28"/>
        <v>NO</v>
      </c>
      <c r="V150" t="str">
        <f t="shared" si="28"/>
        <v/>
      </c>
      <c r="W150" t="str">
        <f t="shared" si="34"/>
        <v/>
      </c>
      <c r="X150" s="1196" t="str">
        <f t="shared" si="35"/>
        <v/>
      </c>
      <c r="AG150" t="str">
        <f t="shared" si="31"/>
        <v>NO</v>
      </c>
      <c r="AH150" t="str">
        <f t="shared" si="29"/>
        <v>NO</v>
      </c>
      <c r="AI150" t="str">
        <f t="shared" si="29"/>
        <v>NO</v>
      </c>
      <c r="AJ150" t="str">
        <f t="shared" si="29"/>
        <v>NO</v>
      </c>
      <c r="AK150" t="str">
        <f t="shared" si="29"/>
        <v>NO</v>
      </c>
      <c r="AL150" t="str">
        <f t="shared" si="29"/>
        <v/>
      </c>
      <c r="AN150" s="1196" t="str">
        <f t="shared" si="36"/>
        <v/>
      </c>
      <c r="BA150" s="1196" t="str">
        <f t="shared" si="37"/>
        <v/>
      </c>
    </row>
    <row r="151" spans="1:53" x14ac:dyDescent="0.35">
      <c r="A151" t="str">
        <f t="shared" si="32"/>
        <v>NO</v>
      </c>
      <c r="B151" t="str">
        <f t="shared" si="32"/>
        <v>NO</v>
      </c>
      <c r="C151" t="str">
        <f t="shared" si="32"/>
        <v>NO</v>
      </c>
      <c r="D151" t="str">
        <f t="shared" si="32"/>
        <v>NO</v>
      </c>
      <c r="E151" t="str">
        <f t="shared" si="32"/>
        <v>NO</v>
      </c>
      <c r="F151" t="str">
        <f t="shared" si="32"/>
        <v/>
      </c>
      <c r="H151" s="1196" t="str">
        <f t="shared" si="33"/>
        <v/>
      </c>
      <c r="Q151" t="str">
        <f t="shared" si="30"/>
        <v>NO</v>
      </c>
      <c r="R151" t="str">
        <f t="shared" si="28"/>
        <v>NO</v>
      </c>
      <c r="S151" t="str">
        <f t="shared" si="28"/>
        <v>NO</v>
      </c>
      <c r="T151" t="str">
        <f t="shared" si="28"/>
        <v>NO</v>
      </c>
      <c r="U151" t="str">
        <f t="shared" si="28"/>
        <v>NO</v>
      </c>
      <c r="V151" t="str">
        <f t="shared" si="28"/>
        <v/>
      </c>
      <c r="W151" t="str">
        <f t="shared" si="34"/>
        <v/>
      </c>
      <c r="X151" s="1196" t="str">
        <f t="shared" si="35"/>
        <v/>
      </c>
      <c r="AG151" t="str">
        <f t="shared" si="31"/>
        <v>NO</v>
      </c>
      <c r="AH151" t="str">
        <f t="shared" si="29"/>
        <v>NO</v>
      </c>
      <c r="AI151" t="str">
        <f t="shared" si="29"/>
        <v>NO</v>
      </c>
      <c r="AJ151" t="str">
        <f t="shared" si="29"/>
        <v>NO</v>
      </c>
      <c r="AK151" t="str">
        <f t="shared" si="29"/>
        <v>NO</v>
      </c>
      <c r="AL151" t="str">
        <f t="shared" si="29"/>
        <v/>
      </c>
      <c r="AN151" s="1196" t="str">
        <f t="shared" si="36"/>
        <v/>
      </c>
      <c r="BA151" s="1196" t="str">
        <f t="shared" si="37"/>
        <v/>
      </c>
    </row>
    <row r="152" spans="1:53" x14ac:dyDescent="0.35">
      <c r="A152" t="str">
        <f t="shared" si="32"/>
        <v>NO</v>
      </c>
      <c r="B152" t="str">
        <f t="shared" si="32"/>
        <v>NO</v>
      </c>
      <c r="C152" t="str">
        <f t="shared" si="32"/>
        <v>NO</v>
      </c>
      <c r="D152" t="str">
        <f t="shared" si="32"/>
        <v>NO</v>
      </c>
      <c r="E152" t="str">
        <f t="shared" si="32"/>
        <v>NO</v>
      </c>
      <c r="F152" t="str">
        <f t="shared" si="32"/>
        <v/>
      </c>
      <c r="H152" s="1196" t="str">
        <f t="shared" si="33"/>
        <v/>
      </c>
      <c r="Q152" t="str">
        <f t="shared" si="30"/>
        <v>NO</v>
      </c>
      <c r="R152" t="str">
        <f t="shared" si="28"/>
        <v>NO</v>
      </c>
      <c r="S152" t="str">
        <f t="shared" si="28"/>
        <v>NO</v>
      </c>
      <c r="T152" t="str">
        <f t="shared" ref="R152:V203" si="38">IFERROR(IF($AA152=T$2,_xlfn.CONCAT($Y152,$Z152),"NO"),0)</f>
        <v>NO</v>
      </c>
      <c r="U152" t="str">
        <f t="shared" si="38"/>
        <v>NO</v>
      </c>
      <c r="V152" t="str">
        <f t="shared" si="38"/>
        <v/>
      </c>
      <c r="W152" t="str">
        <f t="shared" si="34"/>
        <v/>
      </c>
      <c r="X152" s="1196" t="str">
        <f t="shared" si="35"/>
        <v/>
      </c>
      <c r="AG152" t="str">
        <f t="shared" si="31"/>
        <v>NO</v>
      </c>
      <c r="AH152" t="str">
        <f t="shared" si="29"/>
        <v>NO</v>
      </c>
      <c r="AI152" t="str">
        <f t="shared" si="29"/>
        <v>NO</v>
      </c>
      <c r="AJ152" t="str">
        <f t="shared" ref="AH152:AL203" si="39">IFERROR(IF($AQ152=AJ$2,_xlfn.CONCAT($AO152,$AP152),"NO"),0)</f>
        <v>NO</v>
      </c>
      <c r="AK152" t="str">
        <f t="shared" si="39"/>
        <v>NO</v>
      </c>
      <c r="AL152" t="str">
        <f t="shared" si="39"/>
        <v/>
      </c>
      <c r="AN152" s="1196" t="str">
        <f t="shared" si="36"/>
        <v/>
      </c>
      <c r="BA152" s="1196" t="str">
        <f t="shared" si="37"/>
        <v/>
      </c>
    </row>
    <row r="153" spans="1:53" x14ac:dyDescent="0.35">
      <c r="A153" t="str">
        <f t="shared" ref="A153:F184" si="40">IFERROR(IF($K153=A$2,_xlfn.CONCAT($I153,$J153),"NO"),0)</f>
        <v>NO</v>
      </c>
      <c r="B153" t="str">
        <f t="shared" si="40"/>
        <v>NO</v>
      </c>
      <c r="C153" t="str">
        <f t="shared" si="40"/>
        <v>NO</v>
      </c>
      <c r="D153" t="str">
        <f t="shared" si="40"/>
        <v>NO</v>
      </c>
      <c r="E153" t="str">
        <f t="shared" si="40"/>
        <v>NO</v>
      </c>
      <c r="F153" t="str">
        <f t="shared" si="40"/>
        <v/>
      </c>
      <c r="H153" s="1196" t="str">
        <f t="shared" si="33"/>
        <v/>
      </c>
      <c r="Q153" t="str">
        <f t="shared" si="30"/>
        <v>NO</v>
      </c>
      <c r="R153" t="str">
        <f t="shared" si="38"/>
        <v>NO</v>
      </c>
      <c r="S153" t="str">
        <f t="shared" si="38"/>
        <v>NO</v>
      </c>
      <c r="T153" t="str">
        <f t="shared" si="38"/>
        <v>NO</v>
      </c>
      <c r="U153" t="str">
        <f t="shared" si="38"/>
        <v>NO</v>
      </c>
      <c r="V153" t="str">
        <f t="shared" si="38"/>
        <v/>
      </c>
      <c r="W153" t="str">
        <f t="shared" si="34"/>
        <v/>
      </c>
      <c r="X153" s="1196" t="str">
        <f t="shared" si="35"/>
        <v/>
      </c>
      <c r="AG153" t="str">
        <f t="shared" si="31"/>
        <v>NO</v>
      </c>
      <c r="AH153" t="str">
        <f t="shared" si="39"/>
        <v>NO</v>
      </c>
      <c r="AI153" t="str">
        <f t="shared" si="39"/>
        <v>NO</v>
      </c>
      <c r="AJ153" t="str">
        <f t="shared" si="39"/>
        <v>NO</v>
      </c>
      <c r="AK153" t="str">
        <f t="shared" si="39"/>
        <v>NO</v>
      </c>
      <c r="AL153" t="str">
        <f t="shared" si="39"/>
        <v/>
      </c>
      <c r="AN153" s="1196" t="str">
        <f t="shared" si="36"/>
        <v/>
      </c>
      <c r="BA153" s="1196" t="str">
        <f t="shared" si="37"/>
        <v/>
      </c>
    </row>
    <row r="154" spans="1:53" x14ac:dyDescent="0.35">
      <c r="A154" t="str">
        <f t="shared" si="40"/>
        <v>NO</v>
      </c>
      <c r="B154" t="str">
        <f t="shared" si="40"/>
        <v>NO</v>
      </c>
      <c r="C154" t="str">
        <f t="shared" si="40"/>
        <v>NO</v>
      </c>
      <c r="D154" t="str">
        <f t="shared" si="40"/>
        <v>NO</v>
      </c>
      <c r="E154" t="str">
        <f t="shared" si="40"/>
        <v>NO</v>
      </c>
      <c r="F154" t="str">
        <f t="shared" si="40"/>
        <v/>
      </c>
      <c r="H154" s="1196" t="str">
        <f t="shared" si="33"/>
        <v/>
      </c>
      <c r="Q154" t="str">
        <f t="shared" si="30"/>
        <v>NO</v>
      </c>
      <c r="R154" t="str">
        <f t="shared" si="38"/>
        <v>NO</v>
      </c>
      <c r="S154" t="str">
        <f t="shared" si="38"/>
        <v>NO</v>
      </c>
      <c r="T154" t="str">
        <f t="shared" si="38"/>
        <v>NO</v>
      </c>
      <c r="U154" t="str">
        <f t="shared" si="38"/>
        <v>NO</v>
      </c>
      <c r="V154" t="str">
        <f t="shared" si="38"/>
        <v/>
      </c>
      <c r="W154" t="str">
        <f t="shared" si="34"/>
        <v/>
      </c>
      <c r="X154" s="1196" t="str">
        <f t="shared" si="35"/>
        <v/>
      </c>
      <c r="AG154" t="str">
        <f t="shared" si="31"/>
        <v>NO</v>
      </c>
      <c r="AH154" t="str">
        <f t="shared" si="39"/>
        <v>NO</v>
      </c>
      <c r="AI154" t="str">
        <f t="shared" si="39"/>
        <v>NO</v>
      </c>
      <c r="AJ154" t="str">
        <f t="shared" si="39"/>
        <v>NO</v>
      </c>
      <c r="AK154" t="str">
        <f t="shared" si="39"/>
        <v>NO</v>
      </c>
      <c r="AL154" t="str">
        <f t="shared" si="39"/>
        <v/>
      </c>
      <c r="AN154" s="1196" t="str">
        <f t="shared" si="36"/>
        <v/>
      </c>
      <c r="BA154" s="1196" t="str">
        <f t="shared" si="37"/>
        <v/>
      </c>
    </row>
    <row r="155" spans="1:53" x14ac:dyDescent="0.35">
      <c r="A155" t="str">
        <f t="shared" si="40"/>
        <v>NO</v>
      </c>
      <c r="B155" t="str">
        <f t="shared" si="40"/>
        <v>NO</v>
      </c>
      <c r="C155" t="str">
        <f t="shared" si="40"/>
        <v>NO</v>
      </c>
      <c r="D155" t="str">
        <f t="shared" si="40"/>
        <v>NO</v>
      </c>
      <c r="E155" t="str">
        <f t="shared" si="40"/>
        <v>NO</v>
      </c>
      <c r="F155" t="str">
        <f t="shared" si="40"/>
        <v/>
      </c>
      <c r="H155" s="1196" t="str">
        <f t="shared" si="33"/>
        <v/>
      </c>
      <c r="Q155" t="str">
        <f t="shared" si="30"/>
        <v>NO</v>
      </c>
      <c r="R155" t="str">
        <f t="shared" si="38"/>
        <v>NO</v>
      </c>
      <c r="S155" t="str">
        <f t="shared" si="38"/>
        <v>NO</v>
      </c>
      <c r="T155" t="str">
        <f t="shared" si="38"/>
        <v>NO</v>
      </c>
      <c r="U155" t="str">
        <f t="shared" si="38"/>
        <v>NO</v>
      </c>
      <c r="V155" t="str">
        <f t="shared" si="38"/>
        <v/>
      </c>
      <c r="W155" t="str">
        <f t="shared" si="34"/>
        <v/>
      </c>
      <c r="X155" s="1196" t="str">
        <f t="shared" si="35"/>
        <v/>
      </c>
      <c r="AG155" t="str">
        <f t="shared" si="31"/>
        <v>NO</v>
      </c>
      <c r="AH155" t="str">
        <f t="shared" si="39"/>
        <v>NO</v>
      </c>
      <c r="AI155" t="str">
        <f t="shared" si="39"/>
        <v>NO</v>
      </c>
      <c r="AJ155" t="str">
        <f t="shared" si="39"/>
        <v>NO</v>
      </c>
      <c r="AK155" t="str">
        <f t="shared" si="39"/>
        <v>NO</v>
      </c>
      <c r="AL155" t="str">
        <f t="shared" si="39"/>
        <v/>
      </c>
      <c r="AN155" s="1196" t="str">
        <f t="shared" si="36"/>
        <v/>
      </c>
      <c r="BA155" s="1196" t="str">
        <f t="shared" si="37"/>
        <v/>
      </c>
    </row>
    <row r="156" spans="1:53" x14ac:dyDescent="0.35">
      <c r="A156" t="str">
        <f t="shared" si="40"/>
        <v>NO</v>
      </c>
      <c r="B156" t="str">
        <f t="shared" si="40"/>
        <v>NO</v>
      </c>
      <c r="C156" t="str">
        <f t="shared" si="40"/>
        <v>NO</v>
      </c>
      <c r="D156" t="str">
        <f t="shared" si="40"/>
        <v>NO</v>
      </c>
      <c r="E156" t="str">
        <f t="shared" si="40"/>
        <v>NO</v>
      </c>
      <c r="F156" t="str">
        <f t="shared" si="40"/>
        <v/>
      </c>
      <c r="H156" s="1196" t="str">
        <f t="shared" si="33"/>
        <v/>
      </c>
      <c r="Q156" t="str">
        <f t="shared" si="30"/>
        <v>NO</v>
      </c>
      <c r="R156" t="str">
        <f t="shared" si="38"/>
        <v>NO</v>
      </c>
      <c r="S156" t="str">
        <f t="shared" si="38"/>
        <v>NO</v>
      </c>
      <c r="T156" t="str">
        <f t="shared" si="38"/>
        <v>NO</v>
      </c>
      <c r="U156" t="str">
        <f t="shared" si="38"/>
        <v>NO</v>
      </c>
      <c r="V156" t="str">
        <f t="shared" si="38"/>
        <v/>
      </c>
      <c r="W156" t="str">
        <f t="shared" si="34"/>
        <v/>
      </c>
      <c r="X156" s="1196" t="str">
        <f t="shared" si="35"/>
        <v/>
      </c>
      <c r="AG156" t="str">
        <f t="shared" si="31"/>
        <v>NO</v>
      </c>
      <c r="AH156" t="str">
        <f t="shared" si="39"/>
        <v>NO</v>
      </c>
      <c r="AI156" t="str">
        <f t="shared" si="39"/>
        <v>NO</v>
      </c>
      <c r="AJ156" t="str">
        <f t="shared" si="39"/>
        <v>NO</v>
      </c>
      <c r="AK156" t="str">
        <f t="shared" si="39"/>
        <v>NO</v>
      </c>
      <c r="AL156" t="str">
        <f t="shared" si="39"/>
        <v/>
      </c>
      <c r="AN156" s="1196" t="str">
        <f t="shared" si="36"/>
        <v/>
      </c>
      <c r="BA156" s="1196" t="str">
        <f t="shared" si="37"/>
        <v/>
      </c>
    </row>
    <row r="157" spans="1:53" x14ac:dyDescent="0.35">
      <c r="A157" t="str">
        <f t="shared" si="40"/>
        <v>NO</v>
      </c>
      <c r="B157" t="str">
        <f t="shared" si="40"/>
        <v>NO</v>
      </c>
      <c r="C157" t="str">
        <f t="shared" si="40"/>
        <v>NO</v>
      </c>
      <c r="D157" t="str">
        <f t="shared" si="40"/>
        <v>NO</v>
      </c>
      <c r="E157" t="str">
        <f t="shared" si="40"/>
        <v>NO</v>
      </c>
      <c r="F157" t="str">
        <f t="shared" si="40"/>
        <v/>
      </c>
      <c r="H157" s="1196" t="str">
        <f t="shared" si="33"/>
        <v/>
      </c>
      <c r="Q157" t="str">
        <f t="shared" si="30"/>
        <v>NO</v>
      </c>
      <c r="R157" t="str">
        <f t="shared" si="38"/>
        <v>NO</v>
      </c>
      <c r="S157" t="str">
        <f t="shared" si="38"/>
        <v>NO</v>
      </c>
      <c r="T157" t="str">
        <f t="shared" si="38"/>
        <v>NO</v>
      </c>
      <c r="U157" t="str">
        <f t="shared" si="38"/>
        <v>NO</v>
      </c>
      <c r="V157" t="str">
        <f t="shared" si="38"/>
        <v/>
      </c>
      <c r="W157" t="str">
        <f t="shared" si="34"/>
        <v/>
      </c>
      <c r="X157" s="1196" t="str">
        <f t="shared" si="35"/>
        <v/>
      </c>
      <c r="AG157" t="str">
        <f t="shared" si="31"/>
        <v>NO</v>
      </c>
      <c r="AH157" t="str">
        <f t="shared" si="39"/>
        <v>NO</v>
      </c>
      <c r="AI157" t="str">
        <f t="shared" si="39"/>
        <v>NO</v>
      </c>
      <c r="AJ157" t="str">
        <f t="shared" si="39"/>
        <v>NO</v>
      </c>
      <c r="AK157" t="str">
        <f t="shared" si="39"/>
        <v>NO</v>
      </c>
      <c r="AL157" t="str">
        <f t="shared" si="39"/>
        <v/>
      </c>
      <c r="AN157" s="1196" t="str">
        <f t="shared" si="36"/>
        <v/>
      </c>
      <c r="BA157" s="1196" t="str">
        <f t="shared" si="37"/>
        <v/>
      </c>
    </row>
    <row r="158" spans="1:53" x14ac:dyDescent="0.35">
      <c r="A158" t="str">
        <f t="shared" si="40"/>
        <v>NO</v>
      </c>
      <c r="B158" t="str">
        <f t="shared" si="40"/>
        <v>NO</v>
      </c>
      <c r="C158" t="str">
        <f t="shared" si="40"/>
        <v>NO</v>
      </c>
      <c r="D158" t="str">
        <f t="shared" si="40"/>
        <v>NO</v>
      </c>
      <c r="E158" t="str">
        <f t="shared" si="40"/>
        <v>NO</v>
      </c>
      <c r="F158" t="str">
        <f t="shared" si="40"/>
        <v/>
      </c>
      <c r="H158" s="1196" t="str">
        <f t="shared" si="33"/>
        <v/>
      </c>
      <c r="Q158" t="str">
        <f t="shared" si="30"/>
        <v>NO</v>
      </c>
      <c r="R158" t="str">
        <f t="shared" si="38"/>
        <v>NO</v>
      </c>
      <c r="S158" t="str">
        <f t="shared" si="38"/>
        <v>NO</v>
      </c>
      <c r="T158" t="str">
        <f t="shared" si="38"/>
        <v>NO</v>
      </c>
      <c r="U158" t="str">
        <f t="shared" si="38"/>
        <v>NO</v>
      </c>
      <c r="V158" t="str">
        <f t="shared" si="38"/>
        <v/>
      </c>
      <c r="W158" t="str">
        <f t="shared" si="34"/>
        <v/>
      </c>
      <c r="X158" s="1196" t="str">
        <f t="shared" si="35"/>
        <v/>
      </c>
      <c r="AG158" t="str">
        <f t="shared" si="31"/>
        <v>NO</v>
      </c>
      <c r="AH158" t="str">
        <f t="shared" si="39"/>
        <v>NO</v>
      </c>
      <c r="AI158" t="str">
        <f t="shared" si="39"/>
        <v>NO</v>
      </c>
      <c r="AJ158" t="str">
        <f t="shared" si="39"/>
        <v>NO</v>
      </c>
      <c r="AK158" t="str">
        <f t="shared" si="39"/>
        <v>NO</v>
      </c>
      <c r="AL158" t="str">
        <f t="shared" si="39"/>
        <v/>
      </c>
      <c r="AN158" s="1196" t="str">
        <f t="shared" si="36"/>
        <v/>
      </c>
      <c r="BA158" s="1196" t="str">
        <f t="shared" si="37"/>
        <v/>
      </c>
    </row>
    <row r="159" spans="1:53" x14ac:dyDescent="0.35">
      <c r="A159" t="str">
        <f t="shared" si="40"/>
        <v>NO</v>
      </c>
      <c r="B159" t="str">
        <f t="shared" si="40"/>
        <v>NO</v>
      </c>
      <c r="C159" t="str">
        <f t="shared" si="40"/>
        <v>NO</v>
      </c>
      <c r="D159" t="str">
        <f t="shared" si="40"/>
        <v>NO</v>
      </c>
      <c r="E159" t="str">
        <f t="shared" si="40"/>
        <v>NO</v>
      </c>
      <c r="F159" t="str">
        <f t="shared" si="40"/>
        <v/>
      </c>
      <c r="H159" s="1196" t="str">
        <f t="shared" si="33"/>
        <v/>
      </c>
      <c r="Q159" t="str">
        <f t="shared" si="30"/>
        <v>NO</v>
      </c>
      <c r="R159" t="str">
        <f t="shared" si="38"/>
        <v>NO</v>
      </c>
      <c r="S159" t="str">
        <f t="shared" si="38"/>
        <v>NO</v>
      </c>
      <c r="T159" t="str">
        <f t="shared" si="38"/>
        <v>NO</v>
      </c>
      <c r="U159" t="str">
        <f t="shared" si="38"/>
        <v>NO</v>
      </c>
      <c r="V159" t="str">
        <f t="shared" si="38"/>
        <v/>
      </c>
      <c r="W159" t="str">
        <f t="shared" si="34"/>
        <v/>
      </c>
      <c r="X159" s="1196" t="str">
        <f t="shared" si="35"/>
        <v/>
      </c>
      <c r="AG159" t="str">
        <f t="shared" si="31"/>
        <v>NO</v>
      </c>
      <c r="AH159" t="str">
        <f t="shared" si="39"/>
        <v>NO</v>
      </c>
      <c r="AI159" t="str">
        <f t="shared" si="39"/>
        <v>NO</v>
      </c>
      <c r="AJ159" t="str">
        <f t="shared" si="39"/>
        <v>NO</v>
      </c>
      <c r="AK159" t="str">
        <f t="shared" si="39"/>
        <v>NO</v>
      </c>
      <c r="AL159" t="str">
        <f t="shared" si="39"/>
        <v/>
      </c>
      <c r="AN159" s="1196" t="str">
        <f t="shared" si="36"/>
        <v/>
      </c>
      <c r="BA159" s="1196" t="str">
        <f t="shared" si="37"/>
        <v/>
      </c>
    </row>
    <row r="160" spans="1:53" x14ac:dyDescent="0.35">
      <c r="A160" t="str">
        <f t="shared" si="40"/>
        <v>NO</v>
      </c>
      <c r="B160" t="str">
        <f t="shared" si="40"/>
        <v>NO</v>
      </c>
      <c r="C160" t="str">
        <f t="shared" si="40"/>
        <v>NO</v>
      </c>
      <c r="D160" t="str">
        <f t="shared" si="40"/>
        <v>NO</v>
      </c>
      <c r="E160" t="str">
        <f t="shared" si="40"/>
        <v>NO</v>
      </c>
      <c r="F160" t="str">
        <f t="shared" si="40"/>
        <v/>
      </c>
      <c r="H160" s="1196" t="str">
        <f t="shared" si="33"/>
        <v/>
      </c>
      <c r="Q160" t="str">
        <f t="shared" si="30"/>
        <v>NO</v>
      </c>
      <c r="R160" t="str">
        <f t="shared" si="38"/>
        <v>NO</v>
      </c>
      <c r="S160" t="str">
        <f t="shared" si="38"/>
        <v>NO</v>
      </c>
      <c r="T160" t="str">
        <f t="shared" si="38"/>
        <v>NO</v>
      </c>
      <c r="U160" t="str">
        <f t="shared" si="38"/>
        <v>NO</v>
      </c>
      <c r="V160" t="str">
        <f t="shared" si="38"/>
        <v/>
      </c>
      <c r="W160" t="str">
        <f t="shared" si="34"/>
        <v/>
      </c>
      <c r="X160" s="1196" t="str">
        <f t="shared" si="35"/>
        <v/>
      </c>
      <c r="AG160" t="str">
        <f t="shared" si="31"/>
        <v>NO</v>
      </c>
      <c r="AH160" t="str">
        <f t="shared" si="39"/>
        <v>NO</v>
      </c>
      <c r="AI160" t="str">
        <f t="shared" si="39"/>
        <v>NO</v>
      </c>
      <c r="AJ160" t="str">
        <f t="shared" si="39"/>
        <v>NO</v>
      </c>
      <c r="AK160" t="str">
        <f t="shared" si="39"/>
        <v>NO</v>
      </c>
      <c r="AL160" t="str">
        <f t="shared" si="39"/>
        <v/>
      </c>
      <c r="AN160" s="1196" t="str">
        <f t="shared" si="36"/>
        <v/>
      </c>
      <c r="BA160" s="1196" t="str">
        <f t="shared" si="37"/>
        <v/>
      </c>
    </row>
    <row r="161" spans="1:53" x14ac:dyDescent="0.35">
      <c r="A161" t="str">
        <f t="shared" si="40"/>
        <v>NO</v>
      </c>
      <c r="B161" t="str">
        <f t="shared" si="40"/>
        <v>NO</v>
      </c>
      <c r="C161" t="str">
        <f t="shared" si="40"/>
        <v>NO</v>
      </c>
      <c r="D161" t="str">
        <f t="shared" si="40"/>
        <v>NO</v>
      </c>
      <c r="E161" t="str">
        <f t="shared" si="40"/>
        <v>NO</v>
      </c>
      <c r="F161" t="str">
        <f t="shared" si="40"/>
        <v/>
      </c>
      <c r="H161" s="1196" t="str">
        <f t="shared" si="33"/>
        <v/>
      </c>
      <c r="Q161" t="str">
        <f t="shared" si="30"/>
        <v>NO</v>
      </c>
      <c r="R161" t="str">
        <f t="shared" si="38"/>
        <v>NO</v>
      </c>
      <c r="S161" t="str">
        <f t="shared" si="38"/>
        <v>NO</v>
      </c>
      <c r="T161" t="str">
        <f t="shared" si="38"/>
        <v>NO</v>
      </c>
      <c r="U161" t="str">
        <f t="shared" si="38"/>
        <v>NO</v>
      </c>
      <c r="V161" t="str">
        <f t="shared" si="38"/>
        <v/>
      </c>
      <c r="W161" t="str">
        <f t="shared" si="34"/>
        <v/>
      </c>
      <c r="X161" s="1196" t="str">
        <f t="shared" si="35"/>
        <v/>
      </c>
      <c r="AG161" t="str">
        <f t="shared" si="31"/>
        <v>NO</v>
      </c>
      <c r="AH161" t="str">
        <f t="shared" si="39"/>
        <v>NO</v>
      </c>
      <c r="AI161" t="str">
        <f t="shared" si="39"/>
        <v>NO</v>
      </c>
      <c r="AJ161" t="str">
        <f t="shared" si="39"/>
        <v>NO</v>
      </c>
      <c r="AK161" t="str">
        <f t="shared" si="39"/>
        <v>NO</v>
      </c>
      <c r="AL161" t="str">
        <f t="shared" si="39"/>
        <v/>
      </c>
      <c r="AN161" s="1196" t="str">
        <f t="shared" si="36"/>
        <v/>
      </c>
      <c r="BA161" s="1196" t="str">
        <f t="shared" si="37"/>
        <v/>
      </c>
    </row>
    <row r="162" spans="1:53" x14ac:dyDescent="0.35">
      <c r="A162" t="str">
        <f t="shared" si="40"/>
        <v>NO</v>
      </c>
      <c r="B162" t="str">
        <f t="shared" si="40"/>
        <v>NO</v>
      </c>
      <c r="C162" t="str">
        <f t="shared" si="40"/>
        <v>NO</v>
      </c>
      <c r="D162" t="str">
        <f t="shared" si="40"/>
        <v>NO</v>
      </c>
      <c r="E162" t="str">
        <f t="shared" si="40"/>
        <v>NO</v>
      </c>
      <c r="F162" t="str">
        <f t="shared" si="40"/>
        <v/>
      </c>
      <c r="H162" s="1196" t="str">
        <f t="shared" si="33"/>
        <v/>
      </c>
      <c r="Q162" t="str">
        <f t="shared" si="30"/>
        <v>NO</v>
      </c>
      <c r="R162" t="str">
        <f t="shared" si="38"/>
        <v>NO</v>
      </c>
      <c r="S162" t="str">
        <f t="shared" si="38"/>
        <v>NO</v>
      </c>
      <c r="T162" t="str">
        <f t="shared" si="38"/>
        <v>NO</v>
      </c>
      <c r="U162" t="str">
        <f t="shared" si="38"/>
        <v>NO</v>
      </c>
      <c r="V162" t="str">
        <f t="shared" si="38"/>
        <v/>
      </c>
      <c r="W162" t="str">
        <f t="shared" si="34"/>
        <v/>
      </c>
      <c r="X162" s="1196" t="str">
        <f t="shared" si="35"/>
        <v/>
      </c>
      <c r="AG162" t="str">
        <f t="shared" si="31"/>
        <v>NO</v>
      </c>
      <c r="AH162" t="str">
        <f t="shared" si="39"/>
        <v>NO</v>
      </c>
      <c r="AI162" t="str">
        <f t="shared" si="39"/>
        <v>NO</v>
      </c>
      <c r="AJ162" t="str">
        <f t="shared" si="39"/>
        <v>NO</v>
      </c>
      <c r="AK162" t="str">
        <f t="shared" si="39"/>
        <v>NO</v>
      </c>
      <c r="AL162" t="str">
        <f t="shared" si="39"/>
        <v/>
      </c>
      <c r="AN162" s="1196" t="str">
        <f t="shared" si="36"/>
        <v/>
      </c>
      <c r="BA162" s="1196" t="str">
        <f t="shared" si="37"/>
        <v/>
      </c>
    </row>
    <row r="163" spans="1:53" x14ac:dyDescent="0.35">
      <c r="A163" t="str">
        <f t="shared" si="40"/>
        <v>NO</v>
      </c>
      <c r="B163" t="str">
        <f t="shared" si="40"/>
        <v>NO</v>
      </c>
      <c r="C163" t="str">
        <f t="shared" si="40"/>
        <v>NO</v>
      </c>
      <c r="D163" t="str">
        <f t="shared" si="40"/>
        <v>NO</v>
      </c>
      <c r="E163" t="str">
        <f t="shared" si="40"/>
        <v>NO</v>
      </c>
      <c r="F163" t="str">
        <f t="shared" si="40"/>
        <v/>
      </c>
      <c r="H163" s="1196" t="str">
        <f t="shared" si="33"/>
        <v/>
      </c>
      <c r="Q163" t="str">
        <f t="shared" si="30"/>
        <v>NO</v>
      </c>
      <c r="R163" t="str">
        <f t="shared" si="38"/>
        <v>NO</v>
      </c>
      <c r="S163" t="str">
        <f t="shared" si="38"/>
        <v>NO</v>
      </c>
      <c r="T163" t="str">
        <f t="shared" si="38"/>
        <v>NO</v>
      </c>
      <c r="U163" t="str">
        <f t="shared" si="38"/>
        <v>NO</v>
      </c>
      <c r="V163" t="str">
        <f t="shared" si="38"/>
        <v/>
      </c>
      <c r="W163" t="str">
        <f t="shared" si="34"/>
        <v/>
      </c>
      <c r="X163" s="1196" t="str">
        <f t="shared" si="35"/>
        <v/>
      </c>
      <c r="AG163" t="str">
        <f t="shared" si="31"/>
        <v>NO</v>
      </c>
      <c r="AH163" t="str">
        <f t="shared" si="39"/>
        <v>NO</v>
      </c>
      <c r="AI163" t="str">
        <f t="shared" si="39"/>
        <v>NO</v>
      </c>
      <c r="AJ163" t="str">
        <f t="shared" si="39"/>
        <v>NO</v>
      </c>
      <c r="AK163" t="str">
        <f t="shared" si="39"/>
        <v>NO</v>
      </c>
      <c r="AL163" t="str">
        <f t="shared" si="39"/>
        <v/>
      </c>
      <c r="AN163" s="1196" t="str">
        <f t="shared" si="36"/>
        <v/>
      </c>
      <c r="BA163" s="1196" t="str">
        <f t="shared" si="37"/>
        <v/>
      </c>
    </row>
    <row r="164" spans="1:53" x14ac:dyDescent="0.35">
      <c r="A164" t="str">
        <f t="shared" si="40"/>
        <v>NO</v>
      </c>
      <c r="B164" t="str">
        <f t="shared" si="40"/>
        <v>NO</v>
      </c>
      <c r="C164" t="str">
        <f t="shared" si="40"/>
        <v>NO</v>
      </c>
      <c r="D164" t="str">
        <f t="shared" si="40"/>
        <v>NO</v>
      </c>
      <c r="E164" t="str">
        <f t="shared" si="40"/>
        <v>NO</v>
      </c>
      <c r="F164" t="str">
        <f t="shared" si="40"/>
        <v/>
      </c>
      <c r="H164" s="1196" t="str">
        <f t="shared" si="33"/>
        <v/>
      </c>
      <c r="Q164" t="str">
        <f t="shared" si="30"/>
        <v>NO</v>
      </c>
      <c r="R164" t="str">
        <f t="shared" si="38"/>
        <v>NO</v>
      </c>
      <c r="S164" t="str">
        <f t="shared" si="38"/>
        <v>NO</v>
      </c>
      <c r="T164" t="str">
        <f t="shared" si="38"/>
        <v>NO</v>
      </c>
      <c r="U164" t="str">
        <f t="shared" si="38"/>
        <v>NO</v>
      </c>
      <c r="V164" t="str">
        <f t="shared" si="38"/>
        <v/>
      </c>
      <c r="W164" t="str">
        <f t="shared" si="34"/>
        <v/>
      </c>
      <c r="X164" s="1196" t="str">
        <f t="shared" si="35"/>
        <v/>
      </c>
      <c r="AG164" t="str">
        <f t="shared" si="31"/>
        <v>NO</v>
      </c>
      <c r="AH164" t="str">
        <f t="shared" si="39"/>
        <v>NO</v>
      </c>
      <c r="AI164" t="str">
        <f t="shared" si="39"/>
        <v>NO</v>
      </c>
      <c r="AJ164" t="str">
        <f t="shared" si="39"/>
        <v>NO</v>
      </c>
      <c r="AK164" t="str">
        <f t="shared" si="39"/>
        <v>NO</v>
      </c>
      <c r="AL164" t="str">
        <f t="shared" si="39"/>
        <v/>
      </c>
      <c r="AN164" s="1196" t="str">
        <f t="shared" si="36"/>
        <v/>
      </c>
      <c r="BA164" s="1196" t="str">
        <f t="shared" si="37"/>
        <v/>
      </c>
    </row>
    <row r="165" spans="1:53" x14ac:dyDescent="0.35">
      <c r="A165" t="str">
        <f t="shared" si="40"/>
        <v>NO</v>
      </c>
      <c r="B165" t="str">
        <f t="shared" si="40"/>
        <v>NO</v>
      </c>
      <c r="C165" t="str">
        <f t="shared" si="40"/>
        <v>NO</v>
      </c>
      <c r="D165" t="str">
        <f t="shared" si="40"/>
        <v>NO</v>
      </c>
      <c r="E165" t="str">
        <f t="shared" si="40"/>
        <v>NO</v>
      </c>
      <c r="F165" t="str">
        <f t="shared" si="40"/>
        <v/>
      </c>
      <c r="H165" s="1196" t="str">
        <f t="shared" si="33"/>
        <v/>
      </c>
      <c r="Q165" t="str">
        <f t="shared" si="30"/>
        <v>NO</v>
      </c>
      <c r="R165" t="str">
        <f t="shared" si="38"/>
        <v>NO</v>
      </c>
      <c r="S165" t="str">
        <f t="shared" si="38"/>
        <v>NO</v>
      </c>
      <c r="T165" t="str">
        <f t="shared" si="38"/>
        <v>NO</v>
      </c>
      <c r="U165" t="str">
        <f t="shared" si="38"/>
        <v>NO</v>
      </c>
      <c r="V165" t="str">
        <f t="shared" si="38"/>
        <v/>
      </c>
      <c r="W165" t="str">
        <f t="shared" si="34"/>
        <v/>
      </c>
      <c r="X165" s="1196" t="str">
        <f t="shared" si="35"/>
        <v/>
      </c>
      <c r="AG165" t="str">
        <f t="shared" si="31"/>
        <v>NO</v>
      </c>
      <c r="AH165" t="str">
        <f t="shared" si="39"/>
        <v>NO</v>
      </c>
      <c r="AI165" t="str">
        <f t="shared" si="39"/>
        <v>NO</v>
      </c>
      <c r="AJ165" t="str">
        <f t="shared" si="39"/>
        <v>NO</v>
      </c>
      <c r="AK165" t="str">
        <f t="shared" si="39"/>
        <v>NO</v>
      </c>
      <c r="AL165" t="str">
        <f t="shared" si="39"/>
        <v/>
      </c>
      <c r="AN165" s="1196" t="str">
        <f t="shared" si="36"/>
        <v/>
      </c>
      <c r="BA165" s="1196" t="str">
        <f t="shared" si="37"/>
        <v/>
      </c>
    </row>
    <row r="166" spans="1:53" x14ac:dyDescent="0.35">
      <c r="A166" t="str">
        <f t="shared" si="40"/>
        <v>NO</v>
      </c>
      <c r="B166" t="str">
        <f t="shared" si="40"/>
        <v>NO</v>
      </c>
      <c r="C166" t="str">
        <f t="shared" si="40"/>
        <v>NO</v>
      </c>
      <c r="D166" t="str">
        <f t="shared" si="40"/>
        <v>NO</v>
      </c>
      <c r="E166" t="str">
        <f t="shared" si="40"/>
        <v>NO</v>
      </c>
      <c r="F166" t="str">
        <f t="shared" si="40"/>
        <v/>
      </c>
      <c r="H166" s="1196" t="str">
        <f t="shared" si="33"/>
        <v/>
      </c>
      <c r="Q166" t="str">
        <f t="shared" ref="Q166:Q229" si="41">IFERROR(IF($AA166=Q$2,_xlfn.CONCAT($Y166,$Z166),"NO"),0)</f>
        <v>NO</v>
      </c>
      <c r="R166" t="str">
        <f t="shared" si="38"/>
        <v>NO</v>
      </c>
      <c r="S166" t="str">
        <f t="shared" si="38"/>
        <v>NO</v>
      </c>
      <c r="T166" t="str">
        <f t="shared" si="38"/>
        <v>NO</v>
      </c>
      <c r="U166" t="str">
        <f t="shared" si="38"/>
        <v>NO</v>
      </c>
      <c r="V166" t="str">
        <f t="shared" si="38"/>
        <v/>
      </c>
      <c r="W166" t="str">
        <f t="shared" si="34"/>
        <v/>
      </c>
      <c r="X166" s="1196" t="str">
        <f t="shared" si="35"/>
        <v/>
      </c>
      <c r="AG166" t="str">
        <f t="shared" ref="AG166:AG229" si="42">IFERROR(IF($AQ166=AG$2,_xlfn.CONCAT($AO166,$AP166),"NO"),0)</f>
        <v>NO</v>
      </c>
      <c r="AH166" t="str">
        <f t="shared" si="39"/>
        <v>NO</v>
      </c>
      <c r="AI166" t="str">
        <f t="shared" si="39"/>
        <v>NO</v>
      </c>
      <c r="AJ166" t="str">
        <f t="shared" si="39"/>
        <v>NO</v>
      </c>
      <c r="AK166" t="str">
        <f t="shared" si="39"/>
        <v>NO</v>
      </c>
      <c r="AL166" t="str">
        <f t="shared" si="39"/>
        <v/>
      </c>
      <c r="AN166" s="1196" t="str">
        <f t="shared" si="36"/>
        <v/>
      </c>
      <c r="BA166" s="1196" t="str">
        <f t="shared" si="37"/>
        <v/>
      </c>
    </row>
    <row r="167" spans="1:53" x14ac:dyDescent="0.35">
      <c r="A167" t="str">
        <f t="shared" si="40"/>
        <v>NO</v>
      </c>
      <c r="B167" t="str">
        <f t="shared" si="40"/>
        <v>NO</v>
      </c>
      <c r="C167" t="str">
        <f t="shared" si="40"/>
        <v>NO</v>
      </c>
      <c r="D167" t="str">
        <f t="shared" si="40"/>
        <v>NO</v>
      </c>
      <c r="E167" t="str">
        <f t="shared" si="40"/>
        <v>NO</v>
      </c>
      <c r="F167" t="str">
        <f t="shared" si="40"/>
        <v/>
      </c>
      <c r="H167" s="1196" t="str">
        <f t="shared" si="33"/>
        <v/>
      </c>
      <c r="Q167" t="str">
        <f t="shared" si="41"/>
        <v>NO</v>
      </c>
      <c r="R167" t="str">
        <f t="shared" si="38"/>
        <v>NO</v>
      </c>
      <c r="S167" t="str">
        <f t="shared" si="38"/>
        <v>NO</v>
      </c>
      <c r="T167" t="str">
        <f t="shared" si="38"/>
        <v>NO</v>
      </c>
      <c r="U167" t="str">
        <f t="shared" si="38"/>
        <v>NO</v>
      </c>
      <c r="V167" t="str">
        <f t="shared" si="38"/>
        <v/>
      </c>
      <c r="W167" t="str">
        <f t="shared" si="34"/>
        <v/>
      </c>
      <c r="X167" s="1196" t="str">
        <f t="shared" si="35"/>
        <v/>
      </c>
      <c r="AG167" t="str">
        <f t="shared" si="42"/>
        <v>NO</v>
      </c>
      <c r="AH167" t="str">
        <f t="shared" si="39"/>
        <v>NO</v>
      </c>
      <c r="AI167" t="str">
        <f t="shared" si="39"/>
        <v>NO</v>
      </c>
      <c r="AJ167" t="str">
        <f t="shared" si="39"/>
        <v>NO</v>
      </c>
      <c r="AK167" t="str">
        <f t="shared" si="39"/>
        <v>NO</v>
      </c>
      <c r="AL167" t="str">
        <f t="shared" si="39"/>
        <v/>
      </c>
      <c r="AN167" s="1196" t="str">
        <f t="shared" si="36"/>
        <v/>
      </c>
      <c r="BA167" s="1196" t="str">
        <f t="shared" si="37"/>
        <v/>
      </c>
    </row>
    <row r="168" spans="1:53" x14ac:dyDescent="0.35">
      <c r="A168" t="str">
        <f t="shared" si="40"/>
        <v>NO</v>
      </c>
      <c r="B168" t="str">
        <f t="shared" si="40"/>
        <v>NO</v>
      </c>
      <c r="C168" t="str">
        <f t="shared" si="40"/>
        <v>NO</v>
      </c>
      <c r="D168" t="str">
        <f t="shared" si="40"/>
        <v>NO</v>
      </c>
      <c r="E168" t="str">
        <f t="shared" si="40"/>
        <v>NO</v>
      </c>
      <c r="F168" t="str">
        <f t="shared" si="40"/>
        <v/>
      </c>
      <c r="H168" s="1196" t="str">
        <f t="shared" si="33"/>
        <v/>
      </c>
      <c r="Q168" t="str">
        <f t="shared" si="41"/>
        <v>NO</v>
      </c>
      <c r="R168" t="str">
        <f t="shared" si="38"/>
        <v>NO</v>
      </c>
      <c r="S168" t="str">
        <f t="shared" si="38"/>
        <v>NO</v>
      </c>
      <c r="T168" t="str">
        <f t="shared" si="38"/>
        <v>NO</v>
      </c>
      <c r="U168" t="str">
        <f t="shared" si="38"/>
        <v>NO</v>
      </c>
      <c r="V168" t="str">
        <f t="shared" si="38"/>
        <v/>
      </c>
      <c r="W168" t="str">
        <f t="shared" si="34"/>
        <v/>
      </c>
      <c r="X168" s="1196" t="str">
        <f t="shared" si="35"/>
        <v/>
      </c>
      <c r="AG168" t="str">
        <f t="shared" si="42"/>
        <v>NO</v>
      </c>
      <c r="AH168" t="str">
        <f t="shared" si="39"/>
        <v>NO</v>
      </c>
      <c r="AI168" t="str">
        <f t="shared" si="39"/>
        <v>NO</v>
      </c>
      <c r="AJ168" t="str">
        <f t="shared" si="39"/>
        <v>NO</v>
      </c>
      <c r="AK168" t="str">
        <f t="shared" si="39"/>
        <v>NO</v>
      </c>
      <c r="AL168" t="str">
        <f t="shared" si="39"/>
        <v/>
      </c>
      <c r="AN168" s="1196" t="str">
        <f t="shared" si="36"/>
        <v/>
      </c>
      <c r="BA168" s="1196" t="str">
        <f t="shared" si="37"/>
        <v/>
      </c>
    </row>
    <row r="169" spans="1:53" x14ac:dyDescent="0.35">
      <c r="A169" t="str">
        <f t="shared" si="40"/>
        <v>NO</v>
      </c>
      <c r="B169" t="str">
        <f t="shared" si="40"/>
        <v>NO</v>
      </c>
      <c r="C169" t="str">
        <f t="shared" si="40"/>
        <v>NO</v>
      </c>
      <c r="D169" t="str">
        <f t="shared" si="40"/>
        <v>NO</v>
      </c>
      <c r="E169" t="str">
        <f t="shared" si="40"/>
        <v>NO</v>
      </c>
      <c r="F169" t="str">
        <f t="shared" si="40"/>
        <v/>
      </c>
      <c r="H169" s="1196" t="str">
        <f t="shared" si="33"/>
        <v/>
      </c>
      <c r="Q169" t="str">
        <f t="shared" si="41"/>
        <v>NO</v>
      </c>
      <c r="R169" t="str">
        <f t="shared" si="38"/>
        <v>NO</v>
      </c>
      <c r="S169" t="str">
        <f t="shared" si="38"/>
        <v>NO</v>
      </c>
      <c r="T169" t="str">
        <f t="shared" si="38"/>
        <v>NO</v>
      </c>
      <c r="U169" t="str">
        <f t="shared" si="38"/>
        <v>NO</v>
      </c>
      <c r="V169" t="str">
        <f t="shared" si="38"/>
        <v/>
      </c>
      <c r="W169" t="str">
        <f t="shared" si="34"/>
        <v/>
      </c>
      <c r="X169" s="1196" t="str">
        <f t="shared" si="35"/>
        <v/>
      </c>
      <c r="AG169" t="str">
        <f t="shared" si="42"/>
        <v>NO</v>
      </c>
      <c r="AH169" t="str">
        <f t="shared" si="39"/>
        <v>NO</v>
      </c>
      <c r="AI169" t="str">
        <f t="shared" si="39"/>
        <v>NO</v>
      </c>
      <c r="AJ169" t="str">
        <f t="shared" si="39"/>
        <v>NO</v>
      </c>
      <c r="AK169" t="str">
        <f t="shared" si="39"/>
        <v>NO</v>
      </c>
      <c r="AL169" t="str">
        <f t="shared" si="39"/>
        <v/>
      </c>
      <c r="AN169" s="1196" t="str">
        <f t="shared" si="36"/>
        <v/>
      </c>
      <c r="BA169" s="1196" t="str">
        <f t="shared" si="37"/>
        <v/>
      </c>
    </row>
    <row r="170" spans="1:53" x14ac:dyDescent="0.35">
      <c r="A170" t="str">
        <f t="shared" si="40"/>
        <v>NO</v>
      </c>
      <c r="B170" t="str">
        <f t="shared" si="40"/>
        <v>NO</v>
      </c>
      <c r="C170" t="str">
        <f t="shared" si="40"/>
        <v>NO</v>
      </c>
      <c r="D170" t="str">
        <f t="shared" si="40"/>
        <v>NO</v>
      </c>
      <c r="E170" t="str">
        <f t="shared" si="40"/>
        <v>NO</v>
      </c>
      <c r="F170" t="str">
        <f t="shared" si="40"/>
        <v/>
      </c>
      <c r="H170" s="1196" t="str">
        <f t="shared" si="33"/>
        <v/>
      </c>
      <c r="Q170" t="str">
        <f t="shared" si="41"/>
        <v>NO</v>
      </c>
      <c r="R170" t="str">
        <f t="shared" si="38"/>
        <v>NO</v>
      </c>
      <c r="S170" t="str">
        <f t="shared" si="38"/>
        <v>NO</v>
      </c>
      <c r="T170" t="str">
        <f t="shared" si="38"/>
        <v>NO</v>
      </c>
      <c r="U170" t="str">
        <f t="shared" si="38"/>
        <v>NO</v>
      </c>
      <c r="V170" t="str">
        <f t="shared" si="38"/>
        <v/>
      </c>
      <c r="W170" t="str">
        <f t="shared" si="34"/>
        <v/>
      </c>
      <c r="X170" s="1196" t="str">
        <f t="shared" si="35"/>
        <v/>
      </c>
      <c r="AG170" t="str">
        <f t="shared" si="42"/>
        <v>NO</v>
      </c>
      <c r="AH170" t="str">
        <f t="shared" si="39"/>
        <v>NO</v>
      </c>
      <c r="AI170" t="str">
        <f t="shared" si="39"/>
        <v>NO</v>
      </c>
      <c r="AJ170" t="str">
        <f t="shared" si="39"/>
        <v>NO</v>
      </c>
      <c r="AK170" t="str">
        <f t="shared" si="39"/>
        <v>NO</v>
      </c>
      <c r="AL170" t="str">
        <f t="shared" si="39"/>
        <v/>
      </c>
      <c r="AN170" s="1196" t="str">
        <f t="shared" si="36"/>
        <v/>
      </c>
      <c r="BA170" s="1196" t="str">
        <f t="shared" si="37"/>
        <v/>
      </c>
    </row>
    <row r="171" spans="1:53" x14ac:dyDescent="0.35">
      <c r="A171" t="str">
        <f t="shared" si="40"/>
        <v>NO</v>
      </c>
      <c r="B171" t="str">
        <f t="shared" si="40"/>
        <v>NO</v>
      </c>
      <c r="C171" t="str">
        <f t="shared" si="40"/>
        <v>NO</v>
      </c>
      <c r="D171" t="str">
        <f t="shared" si="40"/>
        <v>NO</v>
      </c>
      <c r="E171" t="str">
        <f t="shared" si="40"/>
        <v>NO</v>
      </c>
      <c r="F171" t="str">
        <f t="shared" si="40"/>
        <v/>
      </c>
      <c r="H171" s="1196" t="str">
        <f t="shared" si="33"/>
        <v/>
      </c>
      <c r="Q171" t="str">
        <f t="shared" si="41"/>
        <v>NO</v>
      </c>
      <c r="R171" t="str">
        <f t="shared" si="38"/>
        <v>NO</v>
      </c>
      <c r="S171" t="str">
        <f t="shared" si="38"/>
        <v>NO</v>
      </c>
      <c r="T171" t="str">
        <f t="shared" si="38"/>
        <v>NO</v>
      </c>
      <c r="U171" t="str">
        <f t="shared" si="38"/>
        <v>NO</v>
      </c>
      <c r="V171" t="str">
        <f t="shared" si="38"/>
        <v/>
      </c>
      <c r="W171" t="str">
        <f t="shared" si="34"/>
        <v/>
      </c>
      <c r="X171" s="1196" t="str">
        <f t="shared" si="35"/>
        <v/>
      </c>
      <c r="AG171" t="str">
        <f t="shared" si="42"/>
        <v>NO</v>
      </c>
      <c r="AH171" t="str">
        <f t="shared" si="39"/>
        <v>NO</v>
      </c>
      <c r="AI171" t="str">
        <f t="shared" si="39"/>
        <v>NO</v>
      </c>
      <c r="AJ171" t="str">
        <f t="shared" si="39"/>
        <v>NO</v>
      </c>
      <c r="AK171" t="str">
        <f t="shared" si="39"/>
        <v>NO</v>
      </c>
      <c r="AL171" t="str">
        <f t="shared" si="39"/>
        <v/>
      </c>
      <c r="AN171" s="1196" t="str">
        <f t="shared" si="36"/>
        <v/>
      </c>
      <c r="BA171" s="1196" t="str">
        <f t="shared" si="37"/>
        <v/>
      </c>
    </row>
    <row r="172" spans="1:53" x14ac:dyDescent="0.35">
      <c r="A172" t="str">
        <f t="shared" si="40"/>
        <v>NO</v>
      </c>
      <c r="B172" t="str">
        <f t="shared" si="40"/>
        <v>NO</v>
      </c>
      <c r="C172" t="str">
        <f t="shared" si="40"/>
        <v>NO</v>
      </c>
      <c r="D172" t="str">
        <f t="shared" si="40"/>
        <v>NO</v>
      </c>
      <c r="E172" t="str">
        <f t="shared" si="40"/>
        <v>NO</v>
      </c>
      <c r="F172" t="str">
        <f t="shared" si="40"/>
        <v/>
      </c>
      <c r="H172" s="1196" t="str">
        <f t="shared" si="33"/>
        <v/>
      </c>
      <c r="Q172" t="str">
        <f t="shared" si="41"/>
        <v>NO</v>
      </c>
      <c r="R172" t="str">
        <f t="shared" si="38"/>
        <v>NO</v>
      </c>
      <c r="S172" t="str">
        <f t="shared" si="38"/>
        <v>NO</v>
      </c>
      <c r="T172" t="str">
        <f t="shared" si="38"/>
        <v>NO</v>
      </c>
      <c r="U172" t="str">
        <f t="shared" si="38"/>
        <v>NO</v>
      </c>
      <c r="V172" t="str">
        <f t="shared" si="38"/>
        <v/>
      </c>
      <c r="W172" t="str">
        <f t="shared" si="34"/>
        <v/>
      </c>
      <c r="X172" s="1196" t="str">
        <f t="shared" si="35"/>
        <v/>
      </c>
      <c r="AG172" t="str">
        <f t="shared" si="42"/>
        <v>NO</v>
      </c>
      <c r="AH172" t="str">
        <f t="shared" si="39"/>
        <v>NO</v>
      </c>
      <c r="AI172" t="str">
        <f t="shared" si="39"/>
        <v>NO</v>
      </c>
      <c r="AJ172" t="str">
        <f t="shared" si="39"/>
        <v>NO</v>
      </c>
      <c r="AK172" t="str">
        <f t="shared" si="39"/>
        <v>NO</v>
      </c>
      <c r="AL172" t="str">
        <f t="shared" si="39"/>
        <v/>
      </c>
      <c r="AN172" s="1196" t="str">
        <f t="shared" si="36"/>
        <v/>
      </c>
      <c r="BA172" s="1196" t="str">
        <f t="shared" si="37"/>
        <v/>
      </c>
    </row>
    <row r="173" spans="1:53" x14ac:dyDescent="0.35">
      <c r="A173" t="str">
        <f t="shared" si="40"/>
        <v>NO</v>
      </c>
      <c r="B173" t="str">
        <f t="shared" si="40"/>
        <v>NO</v>
      </c>
      <c r="C173" t="str">
        <f t="shared" si="40"/>
        <v>NO</v>
      </c>
      <c r="D173" t="str">
        <f t="shared" si="40"/>
        <v>NO</v>
      </c>
      <c r="E173" t="str">
        <f t="shared" si="40"/>
        <v>NO</v>
      </c>
      <c r="F173" t="str">
        <f t="shared" si="40"/>
        <v/>
      </c>
      <c r="H173" s="1196" t="str">
        <f t="shared" si="33"/>
        <v/>
      </c>
      <c r="Q173" t="str">
        <f t="shared" si="41"/>
        <v>NO</v>
      </c>
      <c r="R173" t="str">
        <f t="shared" si="38"/>
        <v>NO</v>
      </c>
      <c r="S173" t="str">
        <f t="shared" si="38"/>
        <v>NO</v>
      </c>
      <c r="T173" t="str">
        <f t="shared" si="38"/>
        <v>NO</v>
      </c>
      <c r="U173" t="str">
        <f t="shared" si="38"/>
        <v>NO</v>
      </c>
      <c r="V173" t="str">
        <f t="shared" si="38"/>
        <v/>
      </c>
      <c r="W173" t="str">
        <f t="shared" si="34"/>
        <v/>
      </c>
      <c r="X173" s="1196" t="str">
        <f t="shared" si="35"/>
        <v/>
      </c>
      <c r="AG173" t="str">
        <f t="shared" si="42"/>
        <v>NO</v>
      </c>
      <c r="AH173" t="str">
        <f t="shared" si="39"/>
        <v>NO</v>
      </c>
      <c r="AI173" t="str">
        <f t="shared" si="39"/>
        <v>NO</v>
      </c>
      <c r="AJ173" t="str">
        <f t="shared" si="39"/>
        <v>NO</v>
      </c>
      <c r="AK173" t="str">
        <f t="shared" si="39"/>
        <v>NO</v>
      </c>
      <c r="AL173" t="str">
        <f t="shared" si="39"/>
        <v/>
      </c>
      <c r="AN173" s="1196" t="str">
        <f t="shared" si="36"/>
        <v/>
      </c>
      <c r="BA173" s="1196" t="str">
        <f t="shared" si="37"/>
        <v/>
      </c>
    </row>
    <row r="174" spans="1:53" x14ac:dyDescent="0.35">
      <c r="A174" t="str">
        <f t="shared" si="40"/>
        <v>NO</v>
      </c>
      <c r="B174" t="str">
        <f t="shared" si="40"/>
        <v>NO</v>
      </c>
      <c r="C174" t="str">
        <f t="shared" si="40"/>
        <v>NO</v>
      </c>
      <c r="D174" t="str">
        <f t="shared" si="40"/>
        <v>NO</v>
      </c>
      <c r="E174" t="str">
        <f t="shared" si="40"/>
        <v>NO</v>
      </c>
      <c r="F174" t="str">
        <f t="shared" si="40"/>
        <v/>
      </c>
      <c r="H174" s="1196" t="str">
        <f t="shared" si="33"/>
        <v/>
      </c>
      <c r="Q174" t="str">
        <f t="shared" si="41"/>
        <v>NO</v>
      </c>
      <c r="R174" t="str">
        <f t="shared" si="38"/>
        <v>NO</v>
      </c>
      <c r="S174" t="str">
        <f t="shared" si="38"/>
        <v>NO</v>
      </c>
      <c r="T174" t="str">
        <f t="shared" si="38"/>
        <v>NO</v>
      </c>
      <c r="U174" t="str">
        <f t="shared" si="38"/>
        <v>NO</v>
      </c>
      <c r="V174" t="str">
        <f t="shared" si="38"/>
        <v/>
      </c>
      <c r="W174" t="str">
        <f t="shared" si="34"/>
        <v/>
      </c>
      <c r="X174" s="1196" t="str">
        <f t="shared" si="35"/>
        <v/>
      </c>
      <c r="AG174" t="str">
        <f t="shared" si="42"/>
        <v>NO</v>
      </c>
      <c r="AH174" t="str">
        <f t="shared" si="39"/>
        <v>NO</v>
      </c>
      <c r="AI174" t="str">
        <f t="shared" si="39"/>
        <v>NO</v>
      </c>
      <c r="AJ174" t="str">
        <f t="shared" si="39"/>
        <v>NO</v>
      </c>
      <c r="AK174" t="str">
        <f t="shared" si="39"/>
        <v>NO</v>
      </c>
      <c r="AL174" t="str">
        <f t="shared" si="39"/>
        <v/>
      </c>
      <c r="AN174" s="1196" t="str">
        <f t="shared" si="36"/>
        <v/>
      </c>
      <c r="BA174" s="1196" t="str">
        <f t="shared" si="37"/>
        <v/>
      </c>
    </row>
    <row r="175" spans="1:53" x14ac:dyDescent="0.35">
      <c r="A175" t="str">
        <f t="shared" si="40"/>
        <v>NO</v>
      </c>
      <c r="B175" t="str">
        <f t="shared" si="40"/>
        <v>NO</v>
      </c>
      <c r="C175" t="str">
        <f t="shared" si="40"/>
        <v>NO</v>
      </c>
      <c r="D175" t="str">
        <f t="shared" si="40"/>
        <v>NO</v>
      </c>
      <c r="E175" t="str">
        <f t="shared" si="40"/>
        <v>NO</v>
      </c>
      <c r="F175" t="str">
        <f t="shared" si="40"/>
        <v/>
      </c>
      <c r="H175" s="1196" t="str">
        <f t="shared" si="33"/>
        <v/>
      </c>
      <c r="Q175" t="str">
        <f t="shared" si="41"/>
        <v>NO</v>
      </c>
      <c r="R175" t="str">
        <f t="shared" si="38"/>
        <v>NO</v>
      </c>
      <c r="S175" t="str">
        <f t="shared" si="38"/>
        <v>NO</v>
      </c>
      <c r="T175" t="str">
        <f t="shared" si="38"/>
        <v>NO</v>
      </c>
      <c r="U175" t="str">
        <f t="shared" si="38"/>
        <v>NO</v>
      </c>
      <c r="V175" t="str">
        <f t="shared" si="38"/>
        <v/>
      </c>
      <c r="W175" t="str">
        <f t="shared" si="34"/>
        <v/>
      </c>
      <c r="X175" s="1196" t="str">
        <f t="shared" si="35"/>
        <v/>
      </c>
      <c r="AG175" t="str">
        <f t="shared" si="42"/>
        <v>NO</v>
      </c>
      <c r="AH175" t="str">
        <f t="shared" si="39"/>
        <v>NO</v>
      </c>
      <c r="AI175" t="str">
        <f t="shared" si="39"/>
        <v>NO</v>
      </c>
      <c r="AJ175" t="str">
        <f t="shared" si="39"/>
        <v>NO</v>
      </c>
      <c r="AK175" t="str">
        <f t="shared" si="39"/>
        <v>NO</v>
      </c>
      <c r="AL175" t="str">
        <f t="shared" si="39"/>
        <v/>
      </c>
      <c r="AN175" s="1196" t="str">
        <f t="shared" si="36"/>
        <v/>
      </c>
      <c r="BA175" s="1196" t="str">
        <f t="shared" si="37"/>
        <v/>
      </c>
    </row>
    <row r="176" spans="1:53" x14ac:dyDescent="0.35">
      <c r="A176" t="str">
        <f t="shared" si="40"/>
        <v>NO</v>
      </c>
      <c r="B176" t="str">
        <f t="shared" si="40"/>
        <v>NO</v>
      </c>
      <c r="C176" t="str">
        <f t="shared" si="40"/>
        <v>NO</v>
      </c>
      <c r="D176" t="str">
        <f t="shared" si="40"/>
        <v>NO</v>
      </c>
      <c r="E176" t="str">
        <f t="shared" si="40"/>
        <v>NO</v>
      </c>
      <c r="F176" t="str">
        <f t="shared" si="40"/>
        <v/>
      </c>
      <c r="H176" s="1196" t="str">
        <f t="shared" si="33"/>
        <v/>
      </c>
      <c r="Q176" t="str">
        <f t="shared" si="41"/>
        <v>NO</v>
      </c>
      <c r="R176" t="str">
        <f t="shared" si="38"/>
        <v>NO</v>
      </c>
      <c r="S176" t="str">
        <f t="shared" si="38"/>
        <v>NO</v>
      </c>
      <c r="T176" t="str">
        <f t="shared" si="38"/>
        <v>NO</v>
      </c>
      <c r="U176" t="str">
        <f t="shared" si="38"/>
        <v>NO</v>
      </c>
      <c r="V176" t="str">
        <f t="shared" si="38"/>
        <v/>
      </c>
      <c r="W176" t="str">
        <f t="shared" si="34"/>
        <v/>
      </c>
      <c r="X176" s="1196" t="str">
        <f t="shared" si="35"/>
        <v/>
      </c>
      <c r="AG176" t="str">
        <f t="shared" si="42"/>
        <v>NO</v>
      </c>
      <c r="AH176" t="str">
        <f t="shared" si="39"/>
        <v>NO</v>
      </c>
      <c r="AI176" t="str">
        <f t="shared" si="39"/>
        <v>NO</v>
      </c>
      <c r="AJ176" t="str">
        <f t="shared" si="39"/>
        <v>NO</v>
      </c>
      <c r="AK176" t="str">
        <f t="shared" si="39"/>
        <v>NO</v>
      </c>
      <c r="AL176" t="str">
        <f t="shared" si="39"/>
        <v/>
      </c>
      <c r="AN176" s="1196" t="str">
        <f t="shared" si="36"/>
        <v/>
      </c>
      <c r="BA176" s="1196" t="str">
        <f t="shared" si="37"/>
        <v/>
      </c>
    </row>
    <row r="177" spans="1:53" x14ac:dyDescent="0.35">
      <c r="A177" t="str">
        <f t="shared" si="40"/>
        <v>NO</v>
      </c>
      <c r="B177" t="str">
        <f t="shared" si="40"/>
        <v>NO</v>
      </c>
      <c r="C177" t="str">
        <f t="shared" si="40"/>
        <v>NO</v>
      </c>
      <c r="D177" t="str">
        <f t="shared" si="40"/>
        <v>NO</v>
      </c>
      <c r="E177" t="str">
        <f t="shared" si="40"/>
        <v>NO</v>
      </c>
      <c r="F177" t="str">
        <f t="shared" si="40"/>
        <v/>
      </c>
      <c r="H177" s="1196" t="str">
        <f t="shared" si="33"/>
        <v/>
      </c>
      <c r="Q177" t="str">
        <f t="shared" si="41"/>
        <v>NO</v>
      </c>
      <c r="R177" t="str">
        <f t="shared" si="38"/>
        <v>NO</v>
      </c>
      <c r="S177" t="str">
        <f t="shared" si="38"/>
        <v>NO</v>
      </c>
      <c r="T177" t="str">
        <f t="shared" si="38"/>
        <v>NO</v>
      </c>
      <c r="U177" t="str">
        <f t="shared" si="38"/>
        <v>NO</v>
      </c>
      <c r="V177" t="str">
        <f t="shared" si="38"/>
        <v/>
      </c>
      <c r="W177" t="str">
        <f t="shared" si="34"/>
        <v/>
      </c>
      <c r="X177" s="1196" t="str">
        <f t="shared" si="35"/>
        <v/>
      </c>
      <c r="AG177" t="str">
        <f t="shared" si="42"/>
        <v>NO</v>
      </c>
      <c r="AH177" t="str">
        <f t="shared" si="39"/>
        <v>NO</v>
      </c>
      <c r="AI177" t="str">
        <f t="shared" si="39"/>
        <v>NO</v>
      </c>
      <c r="AJ177" t="str">
        <f t="shared" si="39"/>
        <v>NO</v>
      </c>
      <c r="AK177" t="str">
        <f t="shared" si="39"/>
        <v>NO</v>
      </c>
      <c r="AL177" t="str">
        <f t="shared" si="39"/>
        <v/>
      </c>
      <c r="AN177" s="1196" t="str">
        <f t="shared" si="36"/>
        <v/>
      </c>
      <c r="BA177" s="1196" t="str">
        <f t="shared" si="37"/>
        <v/>
      </c>
    </row>
    <row r="178" spans="1:53" x14ac:dyDescent="0.35">
      <c r="A178" t="str">
        <f t="shared" si="40"/>
        <v>NO</v>
      </c>
      <c r="B178" t="str">
        <f t="shared" si="40"/>
        <v>NO</v>
      </c>
      <c r="C178" t="str">
        <f t="shared" si="40"/>
        <v>NO</v>
      </c>
      <c r="D178" t="str">
        <f t="shared" si="40"/>
        <v>NO</v>
      </c>
      <c r="E178" t="str">
        <f t="shared" si="40"/>
        <v>NO</v>
      </c>
      <c r="F178" t="str">
        <f t="shared" si="40"/>
        <v/>
      </c>
      <c r="H178" s="1196" t="str">
        <f t="shared" si="33"/>
        <v/>
      </c>
      <c r="Q178" t="str">
        <f t="shared" si="41"/>
        <v>NO</v>
      </c>
      <c r="R178" t="str">
        <f t="shared" si="38"/>
        <v>NO</v>
      </c>
      <c r="S178" t="str">
        <f t="shared" si="38"/>
        <v>NO</v>
      </c>
      <c r="T178" t="str">
        <f t="shared" si="38"/>
        <v>NO</v>
      </c>
      <c r="U178" t="str">
        <f t="shared" si="38"/>
        <v>NO</v>
      </c>
      <c r="V178" t="str">
        <f t="shared" si="38"/>
        <v/>
      </c>
      <c r="W178" t="str">
        <f t="shared" si="34"/>
        <v/>
      </c>
      <c r="X178" s="1196" t="str">
        <f t="shared" si="35"/>
        <v/>
      </c>
      <c r="AG178" t="str">
        <f t="shared" si="42"/>
        <v>NO</v>
      </c>
      <c r="AH178" t="str">
        <f t="shared" si="39"/>
        <v>NO</v>
      </c>
      <c r="AI178" t="str">
        <f t="shared" si="39"/>
        <v>NO</v>
      </c>
      <c r="AJ178" t="str">
        <f t="shared" si="39"/>
        <v>NO</v>
      </c>
      <c r="AK178" t="str">
        <f t="shared" si="39"/>
        <v>NO</v>
      </c>
      <c r="AL178" t="str">
        <f t="shared" si="39"/>
        <v/>
      </c>
      <c r="AN178" s="1196" t="str">
        <f t="shared" si="36"/>
        <v/>
      </c>
      <c r="BA178" s="1196" t="str">
        <f t="shared" si="37"/>
        <v/>
      </c>
    </row>
    <row r="179" spans="1:53" x14ac:dyDescent="0.35">
      <c r="A179" t="str">
        <f t="shared" si="40"/>
        <v>NO</v>
      </c>
      <c r="B179" t="str">
        <f t="shared" si="40"/>
        <v>NO</v>
      </c>
      <c r="C179" t="str">
        <f t="shared" si="40"/>
        <v>NO</v>
      </c>
      <c r="D179" t="str">
        <f t="shared" si="40"/>
        <v>NO</v>
      </c>
      <c r="E179" t="str">
        <f t="shared" si="40"/>
        <v>NO</v>
      </c>
      <c r="F179" t="str">
        <f t="shared" si="40"/>
        <v/>
      </c>
      <c r="H179" s="1196" t="str">
        <f t="shared" si="33"/>
        <v/>
      </c>
      <c r="Q179" t="str">
        <f t="shared" si="41"/>
        <v>NO</v>
      </c>
      <c r="R179" t="str">
        <f t="shared" si="38"/>
        <v>NO</v>
      </c>
      <c r="S179" t="str">
        <f t="shared" si="38"/>
        <v>NO</v>
      </c>
      <c r="T179" t="str">
        <f t="shared" si="38"/>
        <v>NO</v>
      </c>
      <c r="U179" t="str">
        <f t="shared" si="38"/>
        <v>NO</v>
      </c>
      <c r="V179" t="str">
        <f t="shared" si="38"/>
        <v/>
      </c>
      <c r="W179" t="str">
        <f t="shared" si="34"/>
        <v/>
      </c>
      <c r="X179" s="1196" t="str">
        <f t="shared" si="35"/>
        <v/>
      </c>
      <c r="AG179" t="str">
        <f t="shared" si="42"/>
        <v>NO</v>
      </c>
      <c r="AH179" t="str">
        <f t="shared" si="39"/>
        <v>NO</v>
      </c>
      <c r="AI179" t="str">
        <f t="shared" si="39"/>
        <v>NO</v>
      </c>
      <c r="AJ179" t="str">
        <f t="shared" si="39"/>
        <v>NO</v>
      </c>
      <c r="AK179" t="str">
        <f t="shared" si="39"/>
        <v>NO</v>
      </c>
      <c r="AL179" t="str">
        <f t="shared" si="39"/>
        <v/>
      </c>
      <c r="AN179" s="1196" t="str">
        <f t="shared" si="36"/>
        <v/>
      </c>
      <c r="BA179" s="1196" t="str">
        <f t="shared" si="37"/>
        <v/>
      </c>
    </row>
    <row r="180" spans="1:53" x14ac:dyDescent="0.35">
      <c r="A180" t="str">
        <f t="shared" si="40"/>
        <v>NO</v>
      </c>
      <c r="B180" t="str">
        <f t="shared" si="40"/>
        <v>NO</v>
      </c>
      <c r="C180" t="str">
        <f t="shared" si="40"/>
        <v>NO</v>
      </c>
      <c r="D180" t="str">
        <f t="shared" si="40"/>
        <v>NO</v>
      </c>
      <c r="E180" t="str">
        <f t="shared" si="40"/>
        <v>NO</v>
      </c>
      <c r="F180" t="str">
        <f t="shared" si="40"/>
        <v/>
      </c>
      <c r="H180" s="1196" t="str">
        <f t="shared" si="33"/>
        <v/>
      </c>
      <c r="Q180" t="str">
        <f t="shared" si="41"/>
        <v>NO</v>
      </c>
      <c r="R180" t="str">
        <f t="shared" si="38"/>
        <v>NO</v>
      </c>
      <c r="S180" t="str">
        <f t="shared" si="38"/>
        <v>NO</v>
      </c>
      <c r="T180" t="str">
        <f t="shared" si="38"/>
        <v>NO</v>
      </c>
      <c r="U180" t="str">
        <f t="shared" si="38"/>
        <v>NO</v>
      </c>
      <c r="V180" t="str">
        <f t="shared" si="38"/>
        <v/>
      </c>
      <c r="W180" t="str">
        <f t="shared" si="34"/>
        <v/>
      </c>
      <c r="X180" s="1196" t="str">
        <f t="shared" si="35"/>
        <v/>
      </c>
      <c r="AG180" t="str">
        <f t="shared" si="42"/>
        <v>NO</v>
      </c>
      <c r="AH180" t="str">
        <f t="shared" si="39"/>
        <v>NO</v>
      </c>
      <c r="AI180" t="str">
        <f t="shared" si="39"/>
        <v>NO</v>
      </c>
      <c r="AJ180" t="str">
        <f t="shared" si="39"/>
        <v>NO</v>
      </c>
      <c r="AK180" t="str">
        <f t="shared" si="39"/>
        <v>NO</v>
      </c>
      <c r="AL180" t="str">
        <f t="shared" si="39"/>
        <v/>
      </c>
      <c r="AN180" s="1196" t="str">
        <f t="shared" si="36"/>
        <v/>
      </c>
      <c r="BA180" s="1196" t="str">
        <f t="shared" si="37"/>
        <v/>
      </c>
    </row>
    <row r="181" spans="1:53" x14ac:dyDescent="0.35">
      <c r="A181" t="str">
        <f t="shared" si="40"/>
        <v>NO</v>
      </c>
      <c r="B181" t="str">
        <f t="shared" si="40"/>
        <v>NO</v>
      </c>
      <c r="C181" t="str">
        <f t="shared" si="40"/>
        <v>NO</v>
      </c>
      <c r="D181" t="str">
        <f t="shared" si="40"/>
        <v>NO</v>
      </c>
      <c r="E181" t="str">
        <f t="shared" si="40"/>
        <v>NO</v>
      </c>
      <c r="F181" t="str">
        <f t="shared" si="40"/>
        <v/>
      </c>
      <c r="H181" s="1196" t="str">
        <f t="shared" si="33"/>
        <v/>
      </c>
      <c r="Q181" t="str">
        <f t="shared" si="41"/>
        <v>NO</v>
      </c>
      <c r="R181" t="str">
        <f t="shared" si="38"/>
        <v>NO</v>
      </c>
      <c r="S181" t="str">
        <f t="shared" si="38"/>
        <v>NO</v>
      </c>
      <c r="T181" t="str">
        <f t="shared" si="38"/>
        <v>NO</v>
      </c>
      <c r="U181" t="str">
        <f t="shared" si="38"/>
        <v>NO</v>
      </c>
      <c r="V181" t="str">
        <f t="shared" si="38"/>
        <v/>
      </c>
      <c r="W181" t="str">
        <f t="shared" si="34"/>
        <v/>
      </c>
      <c r="X181" s="1196" t="str">
        <f t="shared" si="35"/>
        <v/>
      </c>
      <c r="AG181" t="str">
        <f t="shared" si="42"/>
        <v>NO</v>
      </c>
      <c r="AH181" t="str">
        <f t="shared" si="39"/>
        <v>NO</v>
      </c>
      <c r="AI181" t="str">
        <f t="shared" si="39"/>
        <v>NO</v>
      </c>
      <c r="AJ181" t="str">
        <f t="shared" si="39"/>
        <v>NO</v>
      </c>
      <c r="AK181" t="str">
        <f t="shared" si="39"/>
        <v>NO</v>
      </c>
      <c r="AL181" t="str">
        <f t="shared" si="39"/>
        <v/>
      </c>
      <c r="AN181" s="1196" t="str">
        <f t="shared" si="36"/>
        <v/>
      </c>
      <c r="BA181" s="1196" t="str">
        <f t="shared" si="37"/>
        <v/>
      </c>
    </row>
    <row r="182" spans="1:53" x14ac:dyDescent="0.35">
      <c r="A182" t="str">
        <f t="shared" si="40"/>
        <v>NO</v>
      </c>
      <c r="B182" t="str">
        <f t="shared" si="40"/>
        <v>NO</v>
      </c>
      <c r="C182" t="str">
        <f t="shared" si="40"/>
        <v>NO</v>
      </c>
      <c r="D182" t="str">
        <f t="shared" si="40"/>
        <v>NO</v>
      </c>
      <c r="E182" t="str">
        <f t="shared" si="40"/>
        <v>NO</v>
      </c>
      <c r="F182" t="str">
        <f t="shared" si="40"/>
        <v/>
      </c>
      <c r="H182" s="1196" t="str">
        <f t="shared" si="33"/>
        <v/>
      </c>
      <c r="Q182" t="str">
        <f t="shared" si="41"/>
        <v>NO</v>
      </c>
      <c r="R182" t="str">
        <f t="shared" si="38"/>
        <v>NO</v>
      </c>
      <c r="S182" t="str">
        <f t="shared" si="38"/>
        <v>NO</v>
      </c>
      <c r="T182" t="str">
        <f t="shared" si="38"/>
        <v>NO</v>
      </c>
      <c r="U182" t="str">
        <f t="shared" si="38"/>
        <v>NO</v>
      </c>
      <c r="V182" t="str">
        <f t="shared" si="38"/>
        <v/>
      </c>
      <c r="W182" t="str">
        <f t="shared" si="34"/>
        <v/>
      </c>
      <c r="X182" s="1196" t="str">
        <f t="shared" si="35"/>
        <v/>
      </c>
      <c r="AG182" t="str">
        <f t="shared" si="42"/>
        <v>NO</v>
      </c>
      <c r="AH182" t="str">
        <f t="shared" si="39"/>
        <v>NO</v>
      </c>
      <c r="AI182" t="str">
        <f t="shared" si="39"/>
        <v>NO</v>
      </c>
      <c r="AJ182" t="str">
        <f t="shared" si="39"/>
        <v>NO</v>
      </c>
      <c r="AK182" t="str">
        <f t="shared" si="39"/>
        <v>NO</v>
      </c>
      <c r="AL182" t="str">
        <f t="shared" si="39"/>
        <v/>
      </c>
      <c r="AN182" s="1196" t="str">
        <f t="shared" si="36"/>
        <v/>
      </c>
      <c r="BA182" s="1196" t="str">
        <f t="shared" si="37"/>
        <v/>
      </c>
    </row>
    <row r="183" spans="1:53" x14ac:dyDescent="0.35">
      <c r="A183" t="str">
        <f t="shared" si="40"/>
        <v>NO</v>
      </c>
      <c r="B183" t="str">
        <f t="shared" si="40"/>
        <v>NO</v>
      </c>
      <c r="C183" t="str">
        <f t="shared" si="40"/>
        <v>NO</v>
      </c>
      <c r="D183" t="str">
        <f t="shared" si="40"/>
        <v>NO</v>
      </c>
      <c r="E183" t="str">
        <f t="shared" si="40"/>
        <v>NO</v>
      </c>
      <c r="F183" t="str">
        <f t="shared" si="40"/>
        <v/>
      </c>
      <c r="H183" s="1196" t="str">
        <f t="shared" si="33"/>
        <v/>
      </c>
      <c r="Q183" t="str">
        <f t="shared" si="41"/>
        <v>NO</v>
      </c>
      <c r="R183" t="str">
        <f t="shared" si="38"/>
        <v>NO</v>
      </c>
      <c r="S183" t="str">
        <f t="shared" si="38"/>
        <v>NO</v>
      </c>
      <c r="T183" t="str">
        <f t="shared" si="38"/>
        <v>NO</v>
      </c>
      <c r="U183" t="str">
        <f t="shared" si="38"/>
        <v>NO</v>
      </c>
      <c r="V183" t="str">
        <f t="shared" si="38"/>
        <v/>
      </c>
      <c r="W183" t="str">
        <f t="shared" si="34"/>
        <v/>
      </c>
      <c r="X183" s="1196" t="str">
        <f t="shared" si="35"/>
        <v/>
      </c>
      <c r="AG183" t="str">
        <f t="shared" si="42"/>
        <v>NO</v>
      </c>
      <c r="AH183" t="str">
        <f t="shared" si="39"/>
        <v>NO</v>
      </c>
      <c r="AI183" t="str">
        <f t="shared" si="39"/>
        <v>NO</v>
      </c>
      <c r="AJ183" t="str">
        <f t="shared" si="39"/>
        <v>NO</v>
      </c>
      <c r="AK183" t="str">
        <f t="shared" si="39"/>
        <v>NO</v>
      </c>
      <c r="AL183" t="str">
        <f t="shared" si="39"/>
        <v/>
      </c>
      <c r="AN183" s="1196" t="str">
        <f t="shared" si="36"/>
        <v/>
      </c>
      <c r="BA183" s="1196" t="str">
        <f t="shared" si="37"/>
        <v/>
      </c>
    </row>
    <row r="184" spans="1:53" x14ac:dyDescent="0.35">
      <c r="A184" t="str">
        <f t="shared" si="40"/>
        <v>NO</v>
      </c>
      <c r="B184" t="str">
        <f t="shared" si="40"/>
        <v>NO</v>
      </c>
      <c r="C184" t="str">
        <f t="shared" si="40"/>
        <v>NO</v>
      </c>
      <c r="D184" t="str">
        <f t="shared" si="40"/>
        <v>NO</v>
      </c>
      <c r="E184" t="str">
        <f t="shared" si="40"/>
        <v>NO</v>
      </c>
      <c r="F184" t="str">
        <f t="shared" si="40"/>
        <v/>
      </c>
      <c r="H184" s="1196" t="str">
        <f t="shared" si="33"/>
        <v/>
      </c>
      <c r="Q184" t="str">
        <f t="shared" si="41"/>
        <v>NO</v>
      </c>
      <c r="R184" t="str">
        <f t="shared" si="38"/>
        <v>NO</v>
      </c>
      <c r="S184" t="str">
        <f t="shared" si="38"/>
        <v>NO</v>
      </c>
      <c r="T184" t="str">
        <f t="shared" si="38"/>
        <v>NO</v>
      </c>
      <c r="U184" t="str">
        <f t="shared" si="38"/>
        <v>NO</v>
      </c>
      <c r="V184" t="str">
        <f t="shared" si="38"/>
        <v/>
      </c>
      <c r="W184" t="str">
        <f t="shared" si="34"/>
        <v/>
      </c>
      <c r="X184" s="1196" t="str">
        <f t="shared" si="35"/>
        <v/>
      </c>
      <c r="AG184" t="str">
        <f t="shared" si="42"/>
        <v>NO</v>
      </c>
      <c r="AH184" t="str">
        <f t="shared" si="39"/>
        <v>NO</v>
      </c>
      <c r="AI184" t="str">
        <f t="shared" si="39"/>
        <v>NO</v>
      </c>
      <c r="AJ184" t="str">
        <f t="shared" si="39"/>
        <v>NO</v>
      </c>
      <c r="AK184" t="str">
        <f t="shared" si="39"/>
        <v>NO</v>
      </c>
      <c r="AL184" t="str">
        <f t="shared" si="39"/>
        <v/>
      </c>
      <c r="AN184" s="1196" t="str">
        <f t="shared" si="36"/>
        <v/>
      </c>
      <c r="BA184" s="1196" t="str">
        <f t="shared" si="37"/>
        <v/>
      </c>
    </row>
    <row r="185" spans="1:53" x14ac:dyDescent="0.35">
      <c r="A185" t="str">
        <f t="shared" ref="A185:F216" si="43">IFERROR(IF($K185=A$2,_xlfn.CONCAT($I185,$J185),"NO"),0)</f>
        <v>NO</v>
      </c>
      <c r="B185" t="str">
        <f t="shared" si="43"/>
        <v>NO</v>
      </c>
      <c r="C185" t="str">
        <f t="shared" si="43"/>
        <v>NO</v>
      </c>
      <c r="D185" t="str">
        <f t="shared" si="43"/>
        <v>NO</v>
      </c>
      <c r="E185" t="str">
        <f t="shared" si="43"/>
        <v>NO</v>
      </c>
      <c r="F185" t="str">
        <f t="shared" si="43"/>
        <v/>
      </c>
      <c r="H185" s="1196" t="str">
        <f t="shared" si="33"/>
        <v/>
      </c>
      <c r="Q185" t="str">
        <f t="shared" si="41"/>
        <v>NO</v>
      </c>
      <c r="R185" t="str">
        <f t="shared" si="38"/>
        <v>NO</v>
      </c>
      <c r="S185" t="str">
        <f t="shared" si="38"/>
        <v>NO</v>
      </c>
      <c r="T185" t="str">
        <f t="shared" si="38"/>
        <v>NO</v>
      </c>
      <c r="U185" t="str">
        <f t="shared" si="38"/>
        <v>NO</v>
      </c>
      <c r="V185" t="str">
        <f t="shared" si="38"/>
        <v/>
      </c>
      <c r="W185" t="str">
        <f t="shared" si="34"/>
        <v/>
      </c>
      <c r="X185" s="1196" t="str">
        <f t="shared" si="35"/>
        <v/>
      </c>
      <c r="AG185" t="str">
        <f t="shared" si="42"/>
        <v>NO</v>
      </c>
      <c r="AH185" t="str">
        <f t="shared" si="39"/>
        <v>NO</v>
      </c>
      <c r="AI185" t="str">
        <f t="shared" si="39"/>
        <v>NO</v>
      </c>
      <c r="AJ185" t="str">
        <f t="shared" si="39"/>
        <v>NO</v>
      </c>
      <c r="AK185" t="str">
        <f t="shared" si="39"/>
        <v>NO</v>
      </c>
      <c r="AL185" t="str">
        <f t="shared" si="39"/>
        <v/>
      </c>
      <c r="AN185" s="1196" t="str">
        <f t="shared" si="36"/>
        <v/>
      </c>
      <c r="BA185" s="1196" t="str">
        <f t="shared" si="37"/>
        <v/>
      </c>
    </row>
    <row r="186" spans="1:53" x14ac:dyDescent="0.35">
      <c r="A186" t="str">
        <f t="shared" si="43"/>
        <v>NO</v>
      </c>
      <c r="B186" t="str">
        <f t="shared" si="43"/>
        <v>NO</v>
      </c>
      <c r="C186" t="str">
        <f t="shared" si="43"/>
        <v>NO</v>
      </c>
      <c r="D186" t="str">
        <f t="shared" si="43"/>
        <v>NO</v>
      </c>
      <c r="E186" t="str">
        <f t="shared" si="43"/>
        <v>NO</v>
      </c>
      <c r="F186" t="str">
        <f t="shared" si="43"/>
        <v/>
      </c>
      <c r="H186" s="1196" t="str">
        <f t="shared" si="33"/>
        <v/>
      </c>
      <c r="Q186" t="str">
        <f t="shared" si="41"/>
        <v>NO</v>
      </c>
      <c r="R186" t="str">
        <f t="shared" si="38"/>
        <v>NO</v>
      </c>
      <c r="S186" t="str">
        <f t="shared" si="38"/>
        <v>NO</v>
      </c>
      <c r="T186" t="str">
        <f t="shared" si="38"/>
        <v>NO</v>
      </c>
      <c r="U186" t="str">
        <f t="shared" si="38"/>
        <v>NO</v>
      </c>
      <c r="V186" t="str">
        <f t="shared" si="38"/>
        <v/>
      </c>
      <c r="W186" t="str">
        <f t="shared" si="34"/>
        <v/>
      </c>
      <c r="X186" s="1196" t="str">
        <f t="shared" si="35"/>
        <v/>
      </c>
      <c r="AG186" t="str">
        <f t="shared" si="42"/>
        <v>NO</v>
      </c>
      <c r="AH186" t="str">
        <f t="shared" si="39"/>
        <v>NO</v>
      </c>
      <c r="AI186" t="str">
        <f t="shared" si="39"/>
        <v>NO</v>
      </c>
      <c r="AJ186" t="str">
        <f t="shared" si="39"/>
        <v>NO</v>
      </c>
      <c r="AK186" t="str">
        <f t="shared" si="39"/>
        <v>NO</v>
      </c>
      <c r="AL186" t="str">
        <f t="shared" si="39"/>
        <v/>
      </c>
      <c r="AN186" s="1196" t="str">
        <f t="shared" si="36"/>
        <v/>
      </c>
      <c r="BA186" s="1196" t="str">
        <f t="shared" si="37"/>
        <v/>
      </c>
    </row>
    <row r="187" spans="1:53" x14ac:dyDescent="0.35">
      <c r="A187" t="str">
        <f t="shared" si="43"/>
        <v>NO</v>
      </c>
      <c r="B187" t="str">
        <f t="shared" si="43"/>
        <v>NO</v>
      </c>
      <c r="C187" t="str">
        <f t="shared" si="43"/>
        <v>NO</v>
      </c>
      <c r="D187" t="str">
        <f t="shared" si="43"/>
        <v>NO</v>
      </c>
      <c r="E187" t="str">
        <f t="shared" si="43"/>
        <v>NO</v>
      </c>
      <c r="F187" t="str">
        <f t="shared" si="43"/>
        <v/>
      </c>
      <c r="H187" s="1196" t="str">
        <f t="shared" si="33"/>
        <v/>
      </c>
      <c r="Q187" t="str">
        <f t="shared" si="41"/>
        <v>NO</v>
      </c>
      <c r="R187" t="str">
        <f t="shared" si="38"/>
        <v>NO</v>
      </c>
      <c r="S187" t="str">
        <f t="shared" si="38"/>
        <v>NO</v>
      </c>
      <c r="T187" t="str">
        <f t="shared" si="38"/>
        <v>NO</v>
      </c>
      <c r="U187" t="str">
        <f t="shared" si="38"/>
        <v>NO</v>
      </c>
      <c r="V187" t="str">
        <f t="shared" si="38"/>
        <v/>
      </c>
      <c r="W187" t="str">
        <f t="shared" si="34"/>
        <v/>
      </c>
      <c r="X187" s="1196" t="str">
        <f t="shared" si="35"/>
        <v/>
      </c>
      <c r="AG187" t="str">
        <f t="shared" si="42"/>
        <v>NO</v>
      </c>
      <c r="AH187" t="str">
        <f t="shared" si="39"/>
        <v>NO</v>
      </c>
      <c r="AI187" t="str">
        <f t="shared" si="39"/>
        <v>NO</v>
      </c>
      <c r="AJ187" t="str">
        <f t="shared" si="39"/>
        <v>NO</v>
      </c>
      <c r="AK187" t="str">
        <f t="shared" si="39"/>
        <v>NO</v>
      </c>
      <c r="AL187" t="str">
        <f t="shared" si="39"/>
        <v/>
      </c>
      <c r="AN187" s="1196" t="str">
        <f t="shared" si="36"/>
        <v/>
      </c>
      <c r="BA187" s="1196" t="str">
        <f t="shared" si="37"/>
        <v/>
      </c>
    </row>
    <row r="188" spans="1:53" x14ac:dyDescent="0.35">
      <c r="A188" t="str">
        <f t="shared" si="43"/>
        <v>NO</v>
      </c>
      <c r="B188" t="str">
        <f t="shared" si="43"/>
        <v>NO</v>
      </c>
      <c r="C188" t="str">
        <f t="shared" si="43"/>
        <v>NO</v>
      </c>
      <c r="D188" t="str">
        <f t="shared" si="43"/>
        <v>NO</v>
      </c>
      <c r="E188" t="str">
        <f t="shared" si="43"/>
        <v>NO</v>
      </c>
      <c r="F188" t="str">
        <f t="shared" si="43"/>
        <v/>
      </c>
      <c r="H188" s="1196" t="str">
        <f t="shared" si="33"/>
        <v/>
      </c>
      <c r="Q188" t="str">
        <f t="shared" si="41"/>
        <v>NO</v>
      </c>
      <c r="R188" t="str">
        <f t="shared" si="38"/>
        <v>NO</v>
      </c>
      <c r="S188" t="str">
        <f t="shared" si="38"/>
        <v>NO</v>
      </c>
      <c r="T188" t="str">
        <f t="shared" si="38"/>
        <v>NO</v>
      </c>
      <c r="U188" t="str">
        <f t="shared" si="38"/>
        <v>NO</v>
      </c>
      <c r="V188" t="str">
        <f t="shared" si="38"/>
        <v/>
      </c>
      <c r="W188" t="str">
        <f t="shared" si="34"/>
        <v/>
      </c>
      <c r="X188" s="1196" t="str">
        <f t="shared" si="35"/>
        <v/>
      </c>
      <c r="AG188" t="str">
        <f t="shared" si="42"/>
        <v>NO</v>
      </c>
      <c r="AH188" t="str">
        <f t="shared" si="39"/>
        <v>NO</v>
      </c>
      <c r="AI188" t="str">
        <f t="shared" si="39"/>
        <v>NO</v>
      </c>
      <c r="AJ188" t="str">
        <f t="shared" si="39"/>
        <v>NO</v>
      </c>
      <c r="AK188" t="str">
        <f t="shared" si="39"/>
        <v>NO</v>
      </c>
      <c r="AL188" t="str">
        <f t="shared" si="39"/>
        <v/>
      </c>
      <c r="AN188" s="1196" t="str">
        <f t="shared" si="36"/>
        <v/>
      </c>
      <c r="BA188" s="1196" t="str">
        <f t="shared" si="37"/>
        <v/>
      </c>
    </row>
    <row r="189" spans="1:53" x14ac:dyDescent="0.35">
      <c r="A189" t="str">
        <f t="shared" si="43"/>
        <v>NO</v>
      </c>
      <c r="B189" t="str">
        <f t="shared" si="43"/>
        <v>NO</v>
      </c>
      <c r="C189" t="str">
        <f t="shared" si="43"/>
        <v>NO</v>
      </c>
      <c r="D189" t="str">
        <f t="shared" si="43"/>
        <v>NO</v>
      </c>
      <c r="E189" t="str">
        <f t="shared" si="43"/>
        <v>NO</v>
      </c>
      <c r="F189" t="str">
        <f t="shared" si="43"/>
        <v/>
      </c>
      <c r="H189" s="1196" t="str">
        <f t="shared" si="33"/>
        <v/>
      </c>
      <c r="Q189" t="str">
        <f t="shared" si="41"/>
        <v>NO</v>
      </c>
      <c r="R189" t="str">
        <f t="shared" si="38"/>
        <v>NO</v>
      </c>
      <c r="S189" t="str">
        <f t="shared" si="38"/>
        <v>NO</v>
      </c>
      <c r="T189" t="str">
        <f t="shared" si="38"/>
        <v>NO</v>
      </c>
      <c r="U189" t="str">
        <f t="shared" si="38"/>
        <v>NO</v>
      </c>
      <c r="V189" t="str">
        <f t="shared" si="38"/>
        <v/>
      </c>
      <c r="W189" t="str">
        <f t="shared" si="34"/>
        <v/>
      </c>
      <c r="X189" s="1196" t="str">
        <f t="shared" si="35"/>
        <v/>
      </c>
      <c r="AG189" t="str">
        <f t="shared" si="42"/>
        <v>NO</v>
      </c>
      <c r="AH189" t="str">
        <f t="shared" si="39"/>
        <v>NO</v>
      </c>
      <c r="AI189" t="str">
        <f t="shared" si="39"/>
        <v>NO</v>
      </c>
      <c r="AJ189" t="str">
        <f t="shared" si="39"/>
        <v>NO</v>
      </c>
      <c r="AK189" t="str">
        <f t="shared" si="39"/>
        <v>NO</v>
      </c>
      <c r="AL189" t="str">
        <f t="shared" si="39"/>
        <v/>
      </c>
      <c r="AN189" s="1196" t="str">
        <f t="shared" si="36"/>
        <v/>
      </c>
      <c r="BA189" s="1196" t="str">
        <f t="shared" si="37"/>
        <v/>
      </c>
    </row>
    <row r="190" spans="1:53" x14ac:dyDescent="0.35">
      <c r="A190" t="str">
        <f t="shared" si="43"/>
        <v>NO</v>
      </c>
      <c r="B190" t="str">
        <f t="shared" si="43"/>
        <v>NO</v>
      </c>
      <c r="C190" t="str">
        <f t="shared" si="43"/>
        <v>NO</v>
      </c>
      <c r="D190" t="str">
        <f t="shared" si="43"/>
        <v>NO</v>
      </c>
      <c r="E190" t="str">
        <f t="shared" si="43"/>
        <v>NO</v>
      </c>
      <c r="F190" t="str">
        <f t="shared" si="43"/>
        <v/>
      </c>
      <c r="H190" s="1196" t="str">
        <f t="shared" si="33"/>
        <v/>
      </c>
      <c r="Q190" t="str">
        <f t="shared" si="41"/>
        <v>NO</v>
      </c>
      <c r="R190" t="str">
        <f t="shared" si="38"/>
        <v>NO</v>
      </c>
      <c r="S190" t="str">
        <f t="shared" si="38"/>
        <v>NO</v>
      </c>
      <c r="T190" t="str">
        <f t="shared" si="38"/>
        <v>NO</v>
      </c>
      <c r="U190" t="str">
        <f t="shared" si="38"/>
        <v>NO</v>
      </c>
      <c r="V190" t="str">
        <f t="shared" si="38"/>
        <v/>
      </c>
      <c r="W190" t="str">
        <f t="shared" si="34"/>
        <v/>
      </c>
      <c r="X190" s="1196" t="str">
        <f t="shared" si="35"/>
        <v/>
      </c>
      <c r="AG190" t="str">
        <f t="shared" si="42"/>
        <v>NO</v>
      </c>
      <c r="AH190" t="str">
        <f t="shared" si="39"/>
        <v>NO</v>
      </c>
      <c r="AI190" t="str">
        <f t="shared" si="39"/>
        <v>NO</v>
      </c>
      <c r="AJ190" t="str">
        <f t="shared" si="39"/>
        <v>NO</v>
      </c>
      <c r="AK190" t="str">
        <f t="shared" si="39"/>
        <v>NO</v>
      </c>
      <c r="AL190" t="str">
        <f t="shared" si="39"/>
        <v/>
      </c>
      <c r="AN190" s="1196" t="str">
        <f t="shared" si="36"/>
        <v/>
      </c>
      <c r="BA190" s="1196" t="str">
        <f t="shared" si="37"/>
        <v/>
      </c>
    </row>
    <row r="191" spans="1:53" x14ac:dyDescent="0.35">
      <c r="A191" t="str">
        <f t="shared" si="43"/>
        <v>NO</v>
      </c>
      <c r="B191" t="str">
        <f t="shared" si="43"/>
        <v>NO</v>
      </c>
      <c r="C191" t="str">
        <f t="shared" si="43"/>
        <v>NO</v>
      </c>
      <c r="D191" t="str">
        <f t="shared" si="43"/>
        <v>NO</v>
      </c>
      <c r="E191" t="str">
        <f t="shared" si="43"/>
        <v>NO</v>
      </c>
      <c r="F191" t="str">
        <f t="shared" si="43"/>
        <v/>
      </c>
      <c r="H191" s="1196" t="str">
        <f t="shared" si="33"/>
        <v/>
      </c>
      <c r="Q191" t="str">
        <f t="shared" si="41"/>
        <v>NO</v>
      </c>
      <c r="R191" t="str">
        <f t="shared" si="38"/>
        <v>NO</v>
      </c>
      <c r="S191" t="str">
        <f t="shared" si="38"/>
        <v>NO</v>
      </c>
      <c r="T191" t="str">
        <f t="shared" si="38"/>
        <v>NO</v>
      </c>
      <c r="U191" t="str">
        <f t="shared" si="38"/>
        <v>NO</v>
      </c>
      <c r="V191" t="str">
        <f t="shared" si="38"/>
        <v/>
      </c>
      <c r="W191" t="str">
        <f t="shared" si="34"/>
        <v/>
      </c>
      <c r="X191" s="1196" t="str">
        <f t="shared" si="35"/>
        <v/>
      </c>
      <c r="AG191" t="str">
        <f t="shared" si="42"/>
        <v>NO</v>
      </c>
      <c r="AH191" t="str">
        <f t="shared" si="39"/>
        <v>NO</v>
      </c>
      <c r="AI191" t="str">
        <f t="shared" si="39"/>
        <v>NO</v>
      </c>
      <c r="AJ191" t="str">
        <f t="shared" si="39"/>
        <v>NO</v>
      </c>
      <c r="AK191" t="str">
        <f t="shared" si="39"/>
        <v>NO</v>
      </c>
      <c r="AL191" t="str">
        <f t="shared" si="39"/>
        <v/>
      </c>
      <c r="AN191" s="1196" t="str">
        <f t="shared" si="36"/>
        <v/>
      </c>
      <c r="BA191" s="1196" t="str">
        <f t="shared" si="37"/>
        <v/>
      </c>
    </row>
    <row r="192" spans="1:53" x14ac:dyDescent="0.35">
      <c r="A192" t="str">
        <f t="shared" si="43"/>
        <v>NO</v>
      </c>
      <c r="B192" t="str">
        <f t="shared" si="43"/>
        <v>NO</v>
      </c>
      <c r="C192" t="str">
        <f t="shared" si="43"/>
        <v>NO</v>
      </c>
      <c r="D192" t="str">
        <f t="shared" si="43"/>
        <v>NO</v>
      </c>
      <c r="E192" t="str">
        <f t="shared" si="43"/>
        <v>NO</v>
      </c>
      <c r="F192" t="str">
        <f t="shared" si="43"/>
        <v/>
      </c>
      <c r="H192" s="1196" t="str">
        <f t="shared" si="33"/>
        <v/>
      </c>
      <c r="Q192" t="str">
        <f t="shared" si="41"/>
        <v>NO</v>
      </c>
      <c r="R192" t="str">
        <f t="shared" si="38"/>
        <v>NO</v>
      </c>
      <c r="S192" t="str">
        <f t="shared" si="38"/>
        <v>NO</v>
      </c>
      <c r="T192" t="str">
        <f t="shared" si="38"/>
        <v>NO</v>
      </c>
      <c r="U192" t="str">
        <f t="shared" si="38"/>
        <v>NO</v>
      </c>
      <c r="V192" t="str">
        <f t="shared" si="38"/>
        <v/>
      </c>
      <c r="W192" t="str">
        <f t="shared" si="34"/>
        <v/>
      </c>
      <c r="X192" s="1196" t="str">
        <f t="shared" si="35"/>
        <v/>
      </c>
      <c r="AG192" t="str">
        <f t="shared" si="42"/>
        <v>NO</v>
      </c>
      <c r="AH192" t="str">
        <f t="shared" si="39"/>
        <v>NO</v>
      </c>
      <c r="AI192" t="str">
        <f t="shared" si="39"/>
        <v>NO</v>
      </c>
      <c r="AJ192" t="str">
        <f t="shared" si="39"/>
        <v>NO</v>
      </c>
      <c r="AK192" t="str">
        <f t="shared" si="39"/>
        <v>NO</v>
      </c>
      <c r="AL192" t="str">
        <f t="shared" si="39"/>
        <v/>
      </c>
      <c r="AN192" s="1196" t="str">
        <f t="shared" si="36"/>
        <v/>
      </c>
      <c r="BA192" s="1196" t="str">
        <f t="shared" si="37"/>
        <v/>
      </c>
    </row>
    <row r="193" spans="1:53" x14ac:dyDescent="0.35">
      <c r="A193" t="str">
        <f t="shared" si="43"/>
        <v>NO</v>
      </c>
      <c r="B193" t="str">
        <f t="shared" si="43"/>
        <v>NO</v>
      </c>
      <c r="C193" t="str">
        <f t="shared" si="43"/>
        <v>NO</v>
      </c>
      <c r="D193" t="str">
        <f t="shared" si="43"/>
        <v>NO</v>
      </c>
      <c r="E193" t="str">
        <f t="shared" si="43"/>
        <v>NO</v>
      </c>
      <c r="F193" t="str">
        <f t="shared" si="43"/>
        <v/>
      </c>
      <c r="H193" s="1196" t="str">
        <f t="shared" si="33"/>
        <v/>
      </c>
      <c r="Q193" t="str">
        <f t="shared" si="41"/>
        <v>NO</v>
      </c>
      <c r="R193" t="str">
        <f t="shared" si="38"/>
        <v>NO</v>
      </c>
      <c r="S193" t="str">
        <f t="shared" si="38"/>
        <v>NO</v>
      </c>
      <c r="T193" t="str">
        <f t="shared" si="38"/>
        <v>NO</v>
      </c>
      <c r="U193" t="str">
        <f t="shared" si="38"/>
        <v>NO</v>
      </c>
      <c r="V193" t="str">
        <f t="shared" si="38"/>
        <v/>
      </c>
      <c r="W193" t="str">
        <f t="shared" si="34"/>
        <v/>
      </c>
      <c r="X193" s="1196" t="str">
        <f t="shared" si="35"/>
        <v/>
      </c>
      <c r="AG193" t="str">
        <f t="shared" si="42"/>
        <v>NO</v>
      </c>
      <c r="AH193" t="str">
        <f t="shared" si="39"/>
        <v>NO</v>
      </c>
      <c r="AI193" t="str">
        <f t="shared" si="39"/>
        <v>NO</v>
      </c>
      <c r="AJ193" t="str">
        <f t="shared" si="39"/>
        <v>NO</v>
      </c>
      <c r="AK193" t="str">
        <f t="shared" si="39"/>
        <v>NO</v>
      </c>
      <c r="AL193" t="str">
        <f t="shared" si="39"/>
        <v/>
      </c>
      <c r="AN193" s="1196" t="str">
        <f t="shared" si="36"/>
        <v/>
      </c>
      <c r="BA193" s="1196" t="str">
        <f t="shared" si="37"/>
        <v/>
      </c>
    </row>
    <row r="194" spans="1:53" x14ac:dyDescent="0.35">
      <c r="A194" t="str">
        <f t="shared" si="43"/>
        <v>NO</v>
      </c>
      <c r="B194" t="str">
        <f t="shared" si="43"/>
        <v>NO</v>
      </c>
      <c r="C194" t="str">
        <f t="shared" si="43"/>
        <v>NO</v>
      </c>
      <c r="D194" t="str">
        <f t="shared" si="43"/>
        <v>NO</v>
      </c>
      <c r="E194" t="str">
        <f t="shared" si="43"/>
        <v>NO</v>
      </c>
      <c r="F194" t="str">
        <f t="shared" si="43"/>
        <v/>
      </c>
      <c r="H194" s="1196" t="str">
        <f t="shared" si="33"/>
        <v/>
      </c>
      <c r="Q194" t="str">
        <f t="shared" si="41"/>
        <v>NO</v>
      </c>
      <c r="R194" t="str">
        <f t="shared" si="38"/>
        <v>NO</v>
      </c>
      <c r="S194" t="str">
        <f t="shared" si="38"/>
        <v>NO</v>
      </c>
      <c r="T194" t="str">
        <f t="shared" si="38"/>
        <v>NO</v>
      </c>
      <c r="U194" t="str">
        <f t="shared" si="38"/>
        <v>NO</v>
      </c>
      <c r="V194" t="str">
        <f t="shared" si="38"/>
        <v/>
      </c>
      <c r="W194" t="str">
        <f t="shared" si="34"/>
        <v/>
      </c>
      <c r="X194" s="1196" t="str">
        <f t="shared" si="35"/>
        <v/>
      </c>
      <c r="AG194" t="str">
        <f t="shared" si="42"/>
        <v>NO</v>
      </c>
      <c r="AH194" t="str">
        <f t="shared" si="39"/>
        <v>NO</v>
      </c>
      <c r="AI194" t="str">
        <f t="shared" si="39"/>
        <v>NO</v>
      </c>
      <c r="AJ194" t="str">
        <f t="shared" si="39"/>
        <v>NO</v>
      </c>
      <c r="AK194" t="str">
        <f t="shared" si="39"/>
        <v>NO</v>
      </c>
      <c r="AL194" t="str">
        <f t="shared" si="39"/>
        <v/>
      </c>
      <c r="AN194" s="1196" t="str">
        <f t="shared" si="36"/>
        <v/>
      </c>
      <c r="BA194" s="1196" t="str">
        <f t="shared" si="37"/>
        <v/>
      </c>
    </row>
    <row r="195" spans="1:53" x14ac:dyDescent="0.35">
      <c r="A195" t="str">
        <f t="shared" si="43"/>
        <v>NO</v>
      </c>
      <c r="B195" t="str">
        <f t="shared" si="43"/>
        <v>NO</v>
      </c>
      <c r="C195" t="str">
        <f t="shared" si="43"/>
        <v>NO</v>
      </c>
      <c r="D195" t="str">
        <f t="shared" si="43"/>
        <v>NO</v>
      </c>
      <c r="E195" t="str">
        <f t="shared" si="43"/>
        <v>NO</v>
      </c>
      <c r="F195" t="str">
        <f t="shared" si="43"/>
        <v/>
      </c>
      <c r="H195" s="1196" t="str">
        <f t="shared" si="33"/>
        <v/>
      </c>
      <c r="Q195" t="str">
        <f t="shared" si="41"/>
        <v>NO</v>
      </c>
      <c r="R195" t="str">
        <f t="shared" si="38"/>
        <v>NO</v>
      </c>
      <c r="S195" t="str">
        <f t="shared" si="38"/>
        <v>NO</v>
      </c>
      <c r="T195" t="str">
        <f t="shared" si="38"/>
        <v>NO</v>
      </c>
      <c r="U195" t="str">
        <f t="shared" si="38"/>
        <v>NO</v>
      </c>
      <c r="V195" t="str">
        <f t="shared" si="38"/>
        <v/>
      </c>
      <c r="W195" t="str">
        <f t="shared" si="34"/>
        <v/>
      </c>
      <c r="X195" s="1196" t="str">
        <f t="shared" si="35"/>
        <v/>
      </c>
      <c r="AG195" t="str">
        <f t="shared" si="42"/>
        <v>NO</v>
      </c>
      <c r="AH195" t="str">
        <f t="shared" si="39"/>
        <v>NO</v>
      </c>
      <c r="AI195" t="str">
        <f t="shared" si="39"/>
        <v>NO</v>
      </c>
      <c r="AJ195" t="str">
        <f t="shared" si="39"/>
        <v>NO</v>
      </c>
      <c r="AK195" t="str">
        <f t="shared" si="39"/>
        <v>NO</v>
      </c>
      <c r="AL195" t="str">
        <f t="shared" si="39"/>
        <v/>
      </c>
      <c r="AN195" s="1196" t="str">
        <f t="shared" si="36"/>
        <v/>
      </c>
      <c r="BA195" s="1196" t="str">
        <f t="shared" si="37"/>
        <v/>
      </c>
    </row>
    <row r="196" spans="1:53" x14ac:dyDescent="0.35">
      <c r="A196" t="str">
        <f t="shared" si="43"/>
        <v>NO</v>
      </c>
      <c r="B196" t="str">
        <f t="shared" si="43"/>
        <v>NO</v>
      </c>
      <c r="C196" t="str">
        <f t="shared" si="43"/>
        <v>NO</v>
      </c>
      <c r="D196" t="str">
        <f t="shared" si="43"/>
        <v>NO</v>
      </c>
      <c r="E196" t="str">
        <f t="shared" si="43"/>
        <v>NO</v>
      </c>
      <c r="F196" t="str">
        <f t="shared" si="43"/>
        <v/>
      </c>
      <c r="H196" s="1196" t="str">
        <f t="shared" ref="H196:H259" si="44">_xlfn.CONCAT(I196,J196,)</f>
        <v/>
      </c>
      <c r="Q196" t="str">
        <f t="shared" si="41"/>
        <v>NO</v>
      </c>
      <c r="R196" t="str">
        <f t="shared" si="38"/>
        <v>NO</v>
      </c>
      <c r="S196" t="str">
        <f t="shared" si="38"/>
        <v>NO</v>
      </c>
      <c r="T196" t="str">
        <f t="shared" si="38"/>
        <v>NO</v>
      </c>
      <c r="U196" t="str">
        <f t="shared" si="38"/>
        <v>NO</v>
      </c>
      <c r="V196" t="str">
        <f t="shared" si="38"/>
        <v/>
      </c>
      <c r="W196" t="str">
        <f t="shared" ref="W196:W259" si="45">IF(AV196=W195,_xlfn.CONCAT(AE196,AU196))</f>
        <v/>
      </c>
      <c r="X196" s="1196" t="str">
        <f t="shared" ref="X196:X259" si="46">_xlfn.CONCAT(Y196,Z196,)</f>
        <v/>
      </c>
      <c r="AG196" t="str">
        <f t="shared" si="42"/>
        <v>NO</v>
      </c>
      <c r="AH196" t="str">
        <f t="shared" si="39"/>
        <v>NO</v>
      </c>
      <c r="AI196" t="str">
        <f t="shared" si="39"/>
        <v>NO</v>
      </c>
      <c r="AJ196" t="str">
        <f t="shared" si="39"/>
        <v>NO</v>
      </c>
      <c r="AK196" t="str">
        <f t="shared" si="39"/>
        <v>NO</v>
      </c>
      <c r="AL196" t="str">
        <f t="shared" si="39"/>
        <v/>
      </c>
      <c r="AN196" s="1196" t="str">
        <f t="shared" ref="AN196:AN259" si="47">_xlfn.CONCAT(AO196,AP196,)</f>
        <v/>
      </c>
      <c r="BA196" s="1196" t="str">
        <f t="shared" ref="BA196:BA259" si="48">+IF(AZ196="si",_xlfn.CONCAT(AY196,AX196),"")</f>
        <v/>
      </c>
    </row>
    <row r="197" spans="1:53" x14ac:dyDescent="0.35">
      <c r="A197" t="str">
        <f t="shared" si="43"/>
        <v>NO</v>
      </c>
      <c r="B197" t="str">
        <f t="shared" si="43"/>
        <v>NO</v>
      </c>
      <c r="C197" t="str">
        <f t="shared" si="43"/>
        <v>NO</v>
      </c>
      <c r="D197" t="str">
        <f t="shared" si="43"/>
        <v>NO</v>
      </c>
      <c r="E197" t="str">
        <f t="shared" si="43"/>
        <v>NO</v>
      </c>
      <c r="F197" t="str">
        <f t="shared" si="43"/>
        <v/>
      </c>
      <c r="H197" s="1196" t="str">
        <f t="shared" si="44"/>
        <v/>
      </c>
      <c r="Q197" t="str">
        <f t="shared" si="41"/>
        <v>NO</v>
      </c>
      <c r="R197" t="str">
        <f t="shared" si="38"/>
        <v>NO</v>
      </c>
      <c r="S197" t="str">
        <f t="shared" si="38"/>
        <v>NO</v>
      </c>
      <c r="T197" t="str">
        <f t="shared" si="38"/>
        <v>NO</v>
      </c>
      <c r="U197" t="str">
        <f t="shared" si="38"/>
        <v>NO</v>
      </c>
      <c r="V197" t="str">
        <f t="shared" si="38"/>
        <v/>
      </c>
      <c r="W197" t="str">
        <f t="shared" si="45"/>
        <v/>
      </c>
      <c r="X197" s="1196" t="str">
        <f t="shared" si="46"/>
        <v/>
      </c>
      <c r="AG197" t="str">
        <f t="shared" si="42"/>
        <v>NO</v>
      </c>
      <c r="AH197" t="str">
        <f t="shared" si="39"/>
        <v>NO</v>
      </c>
      <c r="AI197" t="str">
        <f t="shared" si="39"/>
        <v>NO</v>
      </c>
      <c r="AJ197" t="str">
        <f t="shared" si="39"/>
        <v>NO</v>
      </c>
      <c r="AK197" t="str">
        <f t="shared" si="39"/>
        <v>NO</v>
      </c>
      <c r="AL197" t="str">
        <f t="shared" si="39"/>
        <v/>
      </c>
      <c r="AN197" s="1196" t="str">
        <f t="shared" si="47"/>
        <v/>
      </c>
      <c r="BA197" s="1196" t="str">
        <f t="shared" si="48"/>
        <v/>
      </c>
    </row>
    <row r="198" spans="1:53" x14ac:dyDescent="0.35">
      <c r="A198" t="str">
        <f t="shared" si="43"/>
        <v>NO</v>
      </c>
      <c r="B198" t="str">
        <f t="shared" si="43"/>
        <v>NO</v>
      </c>
      <c r="C198" t="str">
        <f t="shared" si="43"/>
        <v>NO</v>
      </c>
      <c r="D198" t="str">
        <f t="shared" si="43"/>
        <v>NO</v>
      </c>
      <c r="E198" t="str">
        <f t="shared" si="43"/>
        <v>NO</v>
      </c>
      <c r="F198" t="str">
        <f t="shared" si="43"/>
        <v/>
      </c>
      <c r="H198" s="1196" t="str">
        <f t="shared" si="44"/>
        <v/>
      </c>
      <c r="Q198" t="str">
        <f t="shared" si="41"/>
        <v>NO</v>
      </c>
      <c r="R198" t="str">
        <f t="shared" si="38"/>
        <v>NO</v>
      </c>
      <c r="S198" t="str">
        <f t="shared" si="38"/>
        <v>NO</v>
      </c>
      <c r="T198" t="str">
        <f t="shared" si="38"/>
        <v>NO</v>
      </c>
      <c r="U198" t="str">
        <f t="shared" si="38"/>
        <v>NO</v>
      </c>
      <c r="V198" t="str">
        <f t="shared" si="38"/>
        <v/>
      </c>
      <c r="W198" t="str">
        <f t="shared" si="45"/>
        <v/>
      </c>
      <c r="X198" s="1196" t="str">
        <f t="shared" si="46"/>
        <v/>
      </c>
      <c r="AG198" t="str">
        <f t="shared" si="42"/>
        <v>NO</v>
      </c>
      <c r="AH198" t="str">
        <f t="shared" si="39"/>
        <v>NO</v>
      </c>
      <c r="AI198" t="str">
        <f t="shared" si="39"/>
        <v>NO</v>
      </c>
      <c r="AJ198" t="str">
        <f t="shared" si="39"/>
        <v>NO</v>
      </c>
      <c r="AK198" t="str">
        <f t="shared" si="39"/>
        <v>NO</v>
      </c>
      <c r="AL198" t="str">
        <f t="shared" si="39"/>
        <v/>
      </c>
      <c r="AN198" s="1196" t="str">
        <f t="shared" si="47"/>
        <v/>
      </c>
      <c r="BA198" s="1196" t="str">
        <f t="shared" si="48"/>
        <v/>
      </c>
    </row>
    <row r="199" spans="1:53" x14ac:dyDescent="0.35">
      <c r="A199" t="str">
        <f t="shared" si="43"/>
        <v>NO</v>
      </c>
      <c r="B199" t="str">
        <f t="shared" si="43"/>
        <v>NO</v>
      </c>
      <c r="C199" t="str">
        <f t="shared" si="43"/>
        <v>NO</v>
      </c>
      <c r="D199" t="str">
        <f t="shared" si="43"/>
        <v>NO</v>
      </c>
      <c r="E199" t="str">
        <f t="shared" si="43"/>
        <v>NO</v>
      </c>
      <c r="F199" t="str">
        <f t="shared" si="43"/>
        <v/>
      </c>
      <c r="H199" s="1196" t="str">
        <f t="shared" si="44"/>
        <v/>
      </c>
      <c r="Q199" t="str">
        <f t="shared" si="41"/>
        <v>NO</v>
      </c>
      <c r="R199" t="str">
        <f t="shared" si="38"/>
        <v>NO</v>
      </c>
      <c r="S199" t="str">
        <f t="shared" si="38"/>
        <v>NO</v>
      </c>
      <c r="T199" t="str">
        <f t="shared" si="38"/>
        <v>NO</v>
      </c>
      <c r="U199" t="str">
        <f t="shared" si="38"/>
        <v>NO</v>
      </c>
      <c r="V199" t="str">
        <f t="shared" si="38"/>
        <v/>
      </c>
      <c r="W199" t="str">
        <f t="shared" si="45"/>
        <v/>
      </c>
      <c r="X199" s="1196" t="str">
        <f t="shared" si="46"/>
        <v/>
      </c>
      <c r="AG199" t="str">
        <f t="shared" si="42"/>
        <v>NO</v>
      </c>
      <c r="AH199" t="str">
        <f t="shared" si="39"/>
        <v>NO</v>
      </c>
      <c r="AI199" t="str">
        <f t="shared" si="39"/>
        <v>NO</v>
      </c>
      <c r="AJ199" t="str">
        <f t="shared" si="39"/>
        <v>NO</v>
      </c>
      <c r="AK199" t="str">
        <f t="shared" si="39"/>
        <v>NO</v>
      </c>
      <c r="AL199" t="str">
        <f t="shared" si="39"/>
        <v/>
      </c>
      <c r="AN199" s="1196" t="str">
        <f t="shared" si="47"/>
        <v/>
      </c>
      <c r="BA199" s="1196" t="str">
        <f t="shared" si="48"/>
        <v/>
      </c>
    </row>
    <row r="200" spans="1:53" x14ac:dyDescent="0.35">
      <c r="A200" t="str">
        <f t="shared" si="43"/>
        <v>NO</v>
      </c>
      <c r="B200" t="str">
        <f t="shared" si="43"/>
        <v>NO</v>
      </c>
      <c r="C200" t="str">
        <f t="shared" si="43"/>
        <v>NO</v>
      </c>
      <c r="D200" t="str">
        <f t="shared" si="43"/>
        <v>NO</v>
      </c>
      <c r="E200" t="str">
        <f t="shared" si="43"/>
        <v>NO</v>
      </c>
      <c r="F200" t="str">
        <f t="shared" si="43"/>
        <v/>
      </c>
      <c r="H200" s="1196" t="str">
        <f t="shared" si="44"/>
        <v/>
      </c>
      <c r="Q200" t="str">
        <f t="shared" si="41"/>
        <v>NO</v>
      </c>
      <c r="R200" t="str">
        <f t="shared" si="38"/>
        <v>NO</v>
      </c>
      <c r="S200" t="str">
        <f t="shared" si="38"/>
        <v>NO</v>
      </c>
      <c r="T200" t="str">
        <f t="shared" si="38"/>
        <v>NO</v>
      </c>
      <c r="U200" t="str">
        <f t="shared" si="38"/>
        <v>NO</v>
      </c>
      <c r="V200" t="str">
        <f t="shared" si="38"/>
        <v/>
      </c>
      <c r="W200" t="str">
        <f t="shared" si="45"/>
        <v/>
      </c>
      <c r="X200" s="1196" t="str">
        <f t="shared" si="46"/>
        <v/>
      </c>
      <c r="AG200" t="str">
        <f t="shared" si="42"/>
        <v>NO</v>
      </c>
      <c r="AH200" t="str">
        <f t="shared" si="39"/>
        <v>NO</v>
      </c>
      <c r="AI200" t="str">
        <f t="shared" si="39"/>
        <v>NO</v>
      </c>
      <c r="AJ200" t="str">
        <f t="shared" si="39"/>
        <v>NO</v>
      </c>
      <c r="AK200" t="str">
        <f t="shared" si="39"/>
        <v>NO</v>
      </c>
      <c r="AL200" t="str">
        <f t="shared" si="39"/>
        <v/>
      </c>
      <c r="AN200" s="1196" t="str">
        <f t="shared" si="47"/>
        <v/>
      </c>
      <c r="BA200" s="1196" t="str">
        <f t="shared" si="48"/>
        <v/>
      </c>
    </row>
    <row r="201" spans="1:53" x14ac:dyDescent="0.35">
      <c r="A201" t="str">
        <f t="shared" si="43"/>
        <v>NO</v>
      </c>
      <c r="B201" t="str">
        <f t="shared" si="43"/>
        <v>NO</v>
      </c>
      <c r="C201" t="str">
        <f t="shared" si="43"/>
        <v>NO</v>
      </c>
      <c r="D201" t="str">
        <f t="shared" si="43"/>
        <v>NO</v>
      </c>
      <c r="E201" t="str">
        <f t="shared" si="43"/>
        <v>NO</v>
      </c>
      <c r="F201" t="str">
        <f t="shared" si="43"/>
        <v/>
      </c>
      <c r="H201" s="1196" t="str">
        <f t="shared" si="44"/>
        <v/>
      </c>
      <c r="Q201" t="str">
        <f t="shared" si="41"/>
        <v>NO</v>
      </c>
      <c r="R201" t="str">
        <f t="shared" si="38"/>
        <v>NO</v>
      </c>
      <c r="S201" t="str">
        <f t="shared" si="38"/>
        <v>NO</v>
      </c>
      <c r="T201" t="str">
        <f t="shared" si="38"/>
        <v>NO</v>
      </c>
      <c r="U201" t="str">
        <f t="shared" si="38"/>
        <v>NO</v>
      </c>
      <c r="V201" t="str">
        <f t="shared" si="38"/>
        <v/>
      </c>
      <c r="W201" t="str">
        <f t="shared" si="45"/>
        <v/>
      </c>
      <c r="X201" s="1196" t="str">
        <f t="shared" si="46"/>
        <v/>
      </c>
      <c r="AG201" t="str">
        <f t="shared" si="42"/>
        <v>NO</v>
      </c>
      <c r="AH201" t="str">
        <f t="shared" si="39"/>
        <v>NO</v>
      </c>
      <c r="AI201" t="str">
        <f t="shared" si="39"/>
        <v>NO</v>
      </c>
      <c r="AJ201" t="str">
        <f t="shared" si="39"/>
        <v>NO</v>
      </c>
      <c r="AK201" t="str">
        <f t="shared" si="39"/>
        <v>NO</v>
      </c>
      <c r="AL201" t="str">
        <f t="shared" si="39"/>
        <v/>
      </c>
      <c r="AN201" s="1196" t="str">
        <f t="shared" si="47"/>
        <v/>
      </c>
      <c r="BA201" s="1196" t="str">
        <f t="shared" si="48"/>
        <v/>
      </c>
    </row>
    <row r="202" spans="1:53" x14ac:dyDescent="0.35">
      <c r="A202" t="str">
        <f t="shared" si="43"/>
        <v>NO</v>
      </c>
      <c r="B202" t="str">
        <f t="shared" si="43"/>
        <v>NO</v>
      </c>
      <c r="C202" t="str">
        <f t="shared" si="43"/>
        <v>NO</v>
      </c>
      <c r="D202" t="str">
        <f t="shared" si="43"/>
        <v>NO</v>
      </c>
      <c r="E202" t="str">
        <f t="shared" si="43"/>
        <v>NO</v>
      </c>
      <c r="F202" t="str">
        <f t="shared" si="43"/>
        <v/>
      </c>
      <c r="H202" s="1196" t="str">
        <f t="shared" si="44"/>
        <v/>
      </c>
      <c r="Q202" t="str">
        <f t="shared" si="41"/>
        <v>NO</v>
      </c>
      <c r="R202" t="str">
        <f t="shared" si="38"/>
        <v>NO</v>
      </c>
      <c r="S202" t="str">
        <f t="shared" si="38"/>
        <v>NO</v>
      </c>
      <c r="T202" t="str">
        <f t="shared" si="38"/>
        <v>NO</v>
      </c>
      <c r="U202" t="str">
        <f t="shared" si="38"/>
        <v>NO</v>
      </c>
      <c r="V202" t="str">
        <f t="shared" si="38"/>
        <v/>
      </c>
      <c r="W202" t="str">
        <f t="shared" si="45"/>
        <v/>
      </c>
      <c r="X202" s="1196" t="str">
        <f t="shared" si="46"/>
        <v/>
      </c>
      <c r="AG202" t="str">
        <f t="shared" si="42"/>
        <v>NO</v>
      </c>
      <c r="AH202" t="str">
        <f t="shared" si="39"/>
        <v>NO</v>
      </c>
      <c r="AI202" t="str">
        <f t="shared" si="39"/>
        <v>NO</v>
      </c>
      <c r="AJ202" t="str">
        <f t="shared" si="39"/>
        <v>NO</v>
      </c>
      <c r="AK202" t="str">
        <f t="shared" si="39"/>
        <v>NO</v>
      </c>
      <c r="AL202" t="str">
        <f t="shared" si="39"/>
        <v/>
      </c>
      <c r="AN202" s="1196" t="str">
        <f t="shared" si="47"/>
        <v/>
      </c>
      <c r="BA202" s="1196" t="str">
        <f t="shared" si="48"/>
        <v/>
      </c>
    </row>
    <row r="203" spans="1:53" x14ac:dyDescent="0.35">
      <c r="A203" t="str">
        <f t="shared" si="43"/>
        <v>NO</v>
      </c>
      <c r="B203" t="str">
        <f t="shared" si="43"/>
        <v>NO</v>
      </c>
      <c r="C203" t="str">
        <f t="shared" si="43"/>
        <v>NO</v>
      </c>
      <c r="D203" t="str">
        <f t="shared" si="43"/>
        <v>NO</v>
      </c>
      <c r="E203" t="str">
        <f t="shared" si="43"/>
        <v>NO</v>
      </c>
      <c r="F203" t="str">
        <f t="shared" si="43"/>
        <v/>
      </c>
      <c r="H203" s="1196" t="str">
        <f t="shared" si="44"/>
        <v/>
      </c>
      <c r="Q203" t="str">
        <f t="shared" si="41"/>
        <v>NO</v>
      </c>
      <c r="R203" t="str">
        <f t="shared" si="38"/>
        <v>NO</v>
      </c>
      <c r="S203" t="str">
        <f t="shared" si="38"/>
        <v>NO</v>
      </c>
      <c r="T203" t="str">
        <f t="shared" ref="R203:V254" si="49">IFERROR(IF($AA203=T$2,_xlfn.CONCAT($Y203,$Z203),"NO"),0)</f>
        <v>NO</v>
      </c>
      <c r="U203" t="str">
        <f t="shared" si="49"/>
        <v>NO</v>
      </c>
      <c r="V203" t="str">
        <f t="shared" si="49"/>
        <v/>
      </c>
      <c r="W203" t="str">
        <f t="shared" si="45"/>
        <v/>
      </c>
      <c r="X203" s="1196" t="str">
        <f t="shared" si="46"/>
        <v/>
      </c>
      <c r="AG203" t="str">
        <f t="shared" si="42"/>
        <v>NO</v>
      </c>
      <c r="AH203" t="str">
        <f t="shared" si="39"/>
        <v>NO</v>
      </c>
      <c r="AI203" t="str">
        <f t="shared" si="39"/>
        <v>NO</v>
      </c>
      <c r="AJ203" t="str">
        <f t="shared" ref="AH203:AL254" si="50">IFERROR(IF($AQ203=AJ$2,_xlfn.CONCAT($AO203,$AP203),"NO"),0)</f>
        <v>NO</v>
      </c>
      <c r="AK203" t="str">
        <f t="shared" si="50"/>
        <v>NO</v>
      </c>
      <c r="AL203" t="str">
        <f t="shared" si="50"/>
        <v/>
      </c>
      <c r="AN203" s="1196" t="str">
        <f t="shared" si="47"/>
        <v/>
      </c>
      <c r="BA203" s="1196" t="str">
        <f t="shared" si="48"/>
        <v/>
      </c>
    </row>
    <row r="204" spans="1:53" x14ac:dyDescent="0.35">
      <c r="A204" t="str">
        <f t="shared" si="43"/>
        <v>NO</v>
      </c>
      <c r="B204" t="str">
        <f t="shared" si="43"/>
        <v>NO</v>
      </c>
      <c r="C204" t="str">
        <f t="shared" si="43"/>
        <v>NO</v>
      </c>
      <c r="D204" t="str">
        <f t="shared" si="43"/>
        <v>NO</v>
      </c>
      <c r="E204" t="str">
        <f t="shared" si="43"/>
        <v>NO</v>
      </c>
      <c r="F204" t="str">
        <f t="shared" si="43"/>
        <v/>
      </c>
      <c r="H204" s="1196" t="str">
        <f t="shared" si="44"/>
        <v/>
      </c>
      <c r="Q204" t="str">
        <f t="shared" si="41"/>
        <v>NO</v>
      </c>
      <c r="R204" t="str">
        <f t="shared" si="49"/>
        <v>NO</v>
      </c>
      <c r="S204" t="str">
        <f t="shared" si="49"/>
        <v>NO</v>
      </c>
      <c r="T204" t="str">
        <f t="shared" si="49"/>
        <v>NO</v>
      </c>
      <c r="U204" t="str">
        <f t="shared" si="49"/>
        <v>NO</v>
      </c>
      <c r="V204" t="str">
        <f t="shared" si="49"/>
        <v/>
      </c>
      <c r="W204" t="str">
        <f t="shared" si="45"/>
        <v/>
      </c>
      <c r="X204" s="1196" t="str">
        <f t="shared" si="46"/>
        <v/>
      </c>
      <c r="AG204" t="str">
        <f t="shared" si="42"/>
        <v>NO</v>
      </c>
      <c r="AH204" t="str">
        <f t="shared" si="50"/>
        <v>NO</v>
      </c>
      <c r="AI204" t="str">
        <f t="shared" si="50"/>
        <v>NO</v>
      </c>
      <c r="AJ204" t="str">
        <f t="shared" si="50"/>
        <v>NO</v>
      </c>
      <c r="AK204" t="str">
        <f t="shared" si="50"/>
        <v>NO</v>
      </c>
      <c r="AL204" t="str">
        <f t="shared" si="50"/>
        <v/>
      </c>
      <c r="AN204" s="1196" t="str">
        <f t="shared" si="47"/>
        <v/>
      </c>
      <c r="BA204" s="1196" t="str">
        <f t="shared" si="48"/>
        <v/>
      </c>
    </row>
    <row r="205" spans="1:53" x14ac:dyDescent="0.35">
      <c r="A205" t="str">
        <f t="shared" si="43"/>
        <v>NO</v>
      </c>
      <c r="B205" t="str">
        <f t="shared" si="43"/>
        <v>NO</v>
      </c>
      <c r="C205" t="str">
        <f t="shared" si="43"/>
        <v>NO</v>
      </c>
      <c r="D205" t="str">
        <f t="shared" si="43"/>
        <v>NO</v>
      </c>
      <c r="E205" t="str">
        <f t="shared" si="43"/>
        <v>NO</v>
      </c>
      <c r="F205" t="str">
        <f t="shared" si="43"/>
        <v/>
      </c>
      <c r="H205" s="1196" t="str">
        <f t="shared" si="44"/>
        <v/>
      </c>
      <c r="Q205" t="str">
        <f t="shared" si="41"/>
        <v>NO</v>
      </c>
      <c r="R205" t="str">
        <f t="shared" si="49"/>
        <v>NO</v>
      </c>
      <c r="S205" t="str">
        <f t="shared" si="49"/>
        <v>NO</v>
      </c>
      <c r="T205" t="str">
        <f t="shared" si="49"/>
        <v>NO</v>
      </c>
      <c r="U205" t="str">
        <f t="shared" si="49"/>
        <v>NO</v>
      </c>
      <c r="V205" t="str">
        <f t="shared" si="49"/>
        <v/>
      </c>
      <c r="W205" t="str">
        <f t="shared" si="45"/>
        <v/>
      </c>
      <c r="X205" s="1196" t="str">
        <f t="shared" si="46"/>
        <v/>
      </c>
      <c r="AG205" t="str">
        <f t="shared" si="42"/>
        <v>NO</v>
      </c>
      <c r="AH205" t="str">
        <f t="shared" si="50"/>
        <v>NO</v>
      </c>
      <c r="AI205" t="str">
        <f t="shared" si="50"/>
        <v>NO</v>
      </c>
      <c r="AJ205" t="str">
        <f t="shared" si="50"/>
        <v>NO</v>
      </c>
      <c r="AK205" t="str">
        <f t="shared" si="50"/>
        <v>NO</v>
      </c>
      <c r="AL205" t="str">
        <f t="shared" si="50"/>
        <v/>
      </c>
      <c r="AN205" s="1196" t="str">
        <f t="shared" si="47"/>
        <v/>
      </c>
      <c r="BA205" s="1196" t="str">
        <f t="shared" si="48"/>
        <v/>
      </c>
    </row>
    <row r="206" spans="1:53" x14ac:dyDescent="0.35">
      <c r="A206" t="str">
        <f t="shared" si="43"/>
        <v>NO</v>
      </c>
      <c r="B206" t="str">
        <f t="shared" si="43"/>
        <v>NO</v>
      </c>
      <c r="C206" t="str">
        <f t="shared" si="43"/>
        <v>NO</v>
      </c>
      <c r="D206" t="str">
        <f t="shared" si="43"/>
        <v>NO</v>
      </c>
      <c r="E206" t="str">
        <f t="shared" si="43"/>
        <v>NO</v>
      </c>
      <c r="F206" t="str">
        <f t="shared" si="43"/>
        <v/>
      </c>
      <c r="H206" s="1196" t="str">
        <f t="shared" si="44"/>
        <v/>
      </c>
      <c r="Q206" t="str">
        <f t="shared" si="41"/>
        <v>NO</v>
      </c>
      <c r="R206" t="str">
        <f t="shared" si="49"/>
        <v>NO</v>
      </c>
      <c r="S206" t="str">
        <f t="shared" si="49"/>
        <v>NO</v>
      </c>
      <c r="T206" t="str">
        <f t="shared" si="49"/>
        <v>NO</v>
      </c>
      <c r="U206" t="str">
        <f t="shared" si="49"/>
        <v>NO</v>
      </c>
      <c r="V206" t="str">
        <f t="shared" si="49"/>
        <v/>
      </c>
      <c r="W206" t="str">
        <f t="shared" si="45"/>
        <v/>
      </c>
      <c r="X206" s="1196" t="str">
        <f t="shared" si="46"/>
        <v/>
      </c>
      <c r="AG206" t="str">
        <f t="shared" si="42"/>
        <v>NO</v>
      </c>
      <c r="AH206" t="str">
        <f t="shared" si="50"/>
        <v>NO</v>
      </c>
      <c r="AI206" t="str">
        <f t="shared" si="50"/>
        <v>NO</v>
      </c>
      <c r="AJ206" t="str">
        <f t="shared" si="50"/>
        <v>NO</v>
      </c>
      <c r="AK206" t="str">
        <f t="shared" si="50"/>
        <v>NO</v>
      </c>
      <c r="AL206" t="str">
        <f t="shared" si="50"/>
        <v/>
      </c>
      <c r="AN206" s="1196" t="str">
        <f t="shared" si="47"/>
        <v/>
      </c>
      <c r="BA206" s="1196" t="str">
        <f t="shared" si="48"/>
        <v/>
      </c>
    </row>
    <row r="207" spans="1:53" x14ac:dyDescent="0.35">
      <c r="A207" t="str">
        <f t="shared" si="43"/>
        <v>NO</v>
      </c>
      <c r="B207" t="str">
        <f t="shared" si="43"/>
        <v>NO</v>
      </c>
      <c r="C207" t="str">
        <f t="shared" si="43"/>
        <v>NO</v>
      </c>
      <c r="D207" t="str">
        <f t="shared" si="43"/>
        <v>NO</v>
      </c>
      <c r="E207" t="str">
        <f t="shared" si="43"/>
        <v>NO</v>
      </c>
      <c r="F207" t="str">
        <f t="shared" si="43"/>
        <v/>
      </c>
      <c r="H207" s="1196" t="str">
        <f t="shared" si="44"/>
        <v/>
      </c>
      <c r="Q207" t="str">
        <f t="shared" si="41"/>
        <v>NO</v>
      </c>
      <c r="R207" t="str">
        <f t="shared" si="49"/>
        <v>NO</v>
      </c>
      <c r="S207" t="str">
        <f t="shared" si="49"/>
        <v>NO</v>
      </c>
      <c r="T207" t="str">
        <f t="shared" si="49"/>
        <v>NO</v>
      </c>
      <c r="U207" t="str">
        <f t="shared" si="49"/>
        <v>NO</v>
      </c>
      <c r="V207" t="str">
        <f t="shared" si="49"/>
        <v/>
      </c>
      <c r="W207" t="str">
        <f t="shared" si="45"/>
        <v/>
      </c>
      <c r="X207" s="1196" t="str">
        <f t="shared" si="46"/>
        <v/>
      </c>
      <c r="AG207" t="str">
        <f t="shared" si="42"/>
        <v>NO</v>
      </c>
      <c r="AH207" t="str">
        <f t="shared" si="50"/>
        <v>NO</v>
      </c>
      <c r="AI207" t="str">
        <f t="shared" si="50"/>
        <v>NO</v>
      </c>
      <c r="AJ207" t="str">
        <f t="shared" si="50"/>
        <v>NO</v>
      </c>
      <c r="AK207" t="str">
        <f t="shared" si="50"/>
        <v>NO</v>
      </c>
      <c r="AL207" t="str">
        <f t="shared" si="50"/>
        <v/>
      </c>
      <c r="AN207" s="1196" t="str">
        <f t="shared" si="47"/>
        <v/>
      </c>
      <c r="BA207" s="1196" t="str">
        <f t="shared" si="48"/>
        <v/>
      </c>
    </row>
    <row r="208" spans="1:53" x14ac:dyDescent="0.35">
      <c r="A208" t="str">
        <f t="shared" si="43"/>
        <v>NO</v>
      </c>
      <c r="B208" t="str">
        <f t="shared" si="43"/>
        <v>NO</v>
      </c>
      <c r="C208" t="str">
        <f t="shared" si="43"/>
        <v>NO</v>
      </c>
      <c r="D208" t="str">
        <f t="shared" si="43"/>
        <v>NO</v>
      </c>
      <c r="E208" t="str">
        <f t="shared" si="43"/>
        <v>NO</v>
      </c>
      <c r="F208" t="str">
        <f t="shared" si="43"/>
        <v/>
      </c>
      <c r="H208" s="1196" t="str">
        <f t="shared" si="44"/>
        <v/>
      </c>
      <c r="Q208" t="str">
        <f t="shared" si="41"/>
        <v>NO</v>
      </c>
      <c r="R208" t="str">
        <f t="shared" si="49"/>
        <v>NO</v>
      </c>
      <c r="S208" t="str">
        <f t="shared" si="49"/>
        <v>NO</v>
      </c>
      <c r="T208" t="str">
        <f t="shared" si="49"/>
        <v>NO</v>
      </c>
      <c r="U208" t="str">
        <f t="shared" si="49"/>
        <v>NO</v>
      </c>
      <c r="V208" t="str">
        <f t="shared" si="49"/>
        <v/>
      </c>
      <c r="W208" t="str">
        <f t="shared" si="45"/>
        <v/>
      </c>
      <c r="X208" s="1196" t="str">
        <f t="shared" si="46"/>
        <v/>
      </c>
      <c r="AG208" t="str">
        <f t="shared" si="42"/>
        <v>NO</v>
      </c>
      <c r="AH208" t="str">
        <f t="shared" si="50"/>
        <v>NO</v>
      </c>
      <c r="AI208" t="str">
        <f t="shared" si="50"/>
        <v>NO</v>
      </c>
      <c r="AJ208" t="str">
        <f t="shared" si="50"/>
        <v>NO</v>
      </c>
      <c r="AK208" t="str">
        <f t="shared" si="50"/>
        <v>NO</v>
      </c>
      <c r="AL208" t="str">
        <f t="shared" si="50"/>
        <v/>
      </c>
      <c r="AN208" s="1196" t="str">
        <f t="shared" si="47"/>
        <v/>
      </c>
      <c r="BA208" s="1196" t="str">
        <f t="shared" si="48"/>
        <v/>
      </c>
    </row>
    <row r="209" spans="1:53" x14ac:dyDescent="0.35">
      <c r="A209" t="str">
        <f t="shared" si="43"/>
        <v>NO</v>
      </c>
      <c r="B209" t="str">
        <f t="shared" si="43"/>
        <v>NO</v>
      </c>
      <c r="C209" t="str">
        <f t="shared" si="43"/>
        <v>NO</v>
      </c>
      <c r="D209" t="str">
        <f t="shared" si="43"/>
        <v>NO</v>
      </c>
      <c r="E209" t="str">
        <f t="shared" si="43"/>
        <v>NO</v>
      </c>
      <c r="F209" t="str">
        <f t="shared" si="43"/>
        <v/>
      </c>
      <c r="H209" s="1196" t="str">
        <f t="shared" si="44"/>
        <v/>
      </c>
      <c r="Q209" t="str">
        <f t="shared" si="41"/>
        <v>NO</v>
      </c>
      <c r="R209" t="str">
        <f t="shared" si="49"/>
        <v>NO</v>
      </c>
      <c r="S209" t="str">
        <f t="shared" si="49"/>
        <v>NO</v>
      </c>
      <c r="T209" t="str">
        <f t="shared" si="49"/>
        <v>NO</v>
      </c>
      <c r="U209" t="str">
        <f t="shared" si="49"/>
        <v>NO</v>
      </c>
      <c r="V209" t="str">
        <f t="shared" si="49"/>
        <v/>
      </c>
      <c r="W209" t="str">
        <f t="shared" si="45"/>
        <v/>
      </c>
      <c r="X209" s="1196" t="str">
        <f t="shared" si="46"/>
        <v/>
      </c>
      <c r="AG209" t="str">
        <f t="shared" si="42"/>
        <v>NO</v>
      </c>
      <c r="AH209" t="str">
        <f t="shared" si="50"/>
        <v>NO</v>
      </c>
      <c r="AI209" t="str">
        <f t="shared" si="50"/>
        <v>NO</v>
      </c>
      <c r="AJ209" t="str">
        <f t="shared" si="50"/>
        <v>NO</v>
      </c>
      <c r="AK209" t="str">
        <f t="shared" si="50"/>
        <v>NO</v>
      </c>
      <c r="AL209" t="str">
        <f t="shared" si="50"/>
        <v/>
      </c>
      <c r="AN209" s="1196" t="str">
        <f t="shared" si="47"/>
        <v/>
      </c>
      <c r="BA209" s="1196" t="str">
        <f t="shared" si="48"/>
        <v/>
      </c>
    </row>
    <row r="210" spans="1:53" x14ac:dyDescent="0.35">
      <c r="A210" t="str">
        <f t="shared" si="43"/>
        <v>NO</v>
      </c>
      <c r="B210" t="str">
        <f t="shared" si="43"/>
        <v>NO</v>
      </c>
      <c r="C210" t="str">
        <f t="shared" si="43"/>
        <v>NO</v>
      </c>
      <c r="D210" t="str">
        <f t="shared" si="43"/>
        <v>NO</v>
      </c>
      <c r="E210" t="str">
        <f t="shared" si="43"/>
        <v>NO</v>
      </c>
      <c r="F210" t="str">
        <f t="shared" si="43"/>
        <v/>
      </c>
      <c r="H210" s="1196" t="str">
        <f t="shared" si="44"/>
        <v/>
      </c>
      <c r="Q210" t="str">
        <f t="shared" si="41"/>
        <v>NO</v>
      </c>
      <c r="R210" t="str">
        <f t="shared" si="49"/>
        <v>NO</v>
      </c>
      <c r="S210" t="str">
        <f t="shared" si="49"/>
        <v>NO</v>
      </c>
      <c r="T210" t="str">
        <f t="shared" si="49"/>
        <v>NO</v>
      </c>
      <c r="U210" t="str">
        <f t="shared" si="49"/>
        <v>NO</v>
      </c>
      <c r="V210" t="str">
        <f t="shared" si="49"/>
        <v/>
      </c>
      <c r="W210" t="str">
        <f t="shared" si="45"/>
        <v/>
      </c>
      <c r="X210" s="1196" t="str">
        <f t="shared" si="46"/>
        <v/>
      </c>
      <c r="AG210" t="str">
        <f t="shared" si="42"/>
        <v>NO</v>
      </c>
      <c r="AH210" t="str">
        <f t="shared" si="50"/>
        <v>NO</v>
      </c>
      <c r="AI210" t="str">
        <f t="shared" si="50"/>
        <v>NO</v>
      </c>
      <c r="AJ210" t="str">
        <f t="shared" si="50"/>
        <v>NO</v>
      </c>
      <c r="AK210" t="str">
        <f t="shared" si="50"/>
        <v>NO</v>
      </c>
      <c r="AL210" t="str">
        <f t="shared" si="50"/>
        <v/>
      </c>
      <c r="AN210" s="1196" t="str">
        <f t="shared" si="47"/>
        <v/>
      </c>
      <c r="BA210" s="1196" t="str">
        <f t="shared" si="48"/>
        <v/>
      </c>
    </row>
    <row r="211" spans="1:53" x14ac:dyDescent="0.35">
      <c r="A211" t="str">
        <f t="shared" si="43"/>
        <v>NO</v>
      </c>
      <c r="B211" t="str">
        <f t="shared" si="43"/>
        <v>NO</v>
      </c>
      <c r="C211" t="str">
        <f t="shared" si="43"/>
        <v>NO</v>
      </c>
      <c r="D211" t="str">
        <f t="shared" si="43"/>
        <v>NO</v>
      </c>
      <c r="E211" t="str">
        <f t="shared" si="43"/>
        <v>NO</v>
      </c>
      <c r="F211" t="str">
        <f t="shared" si="43"/>
        <v/>
      </c>
      <c r="H211" s="1196" t="str">
        <f t="shared" si="44"/>
        <v/>
      </c>
      <c r="Q211" t="str">
        <f t="shared" si="41"/>
        <v>NO</v>
      </c>
      <c r="R211" t="str">
        <f t="shared" si="49"/>
        <v>NO</v>
      </c>
      <c r="S211" t="str">
        <f t="shared" si="49"/>
        <v>NO</v>
      </c>
      <c r="T211" t="str">
        <f t="shared" si="49"/>
        <v>NO</v>
      </c>
      <c r="U211" t="str">
        <f t="shared" si="49"/>
        <v>NO</v>
      </c>
      <c r="V211" t="str">
        <f t="shared" si="49"/>
        <v/>
      </c>
      <c r="W211" t="str">
        <f t="shared" si="45"/>
        <v/>
      </c>
      <c r="X211" s="1196" t="str">
        <f t="shared" si="46"/>
        <v/>
      </c>
      <c r="AG211" t="str">
        <f t="shared" si="42"/>
        <v>NO</v>
      </c>
      <c r="AH211" t="str">
        <f t="shared" si="50"/>
        <v>NO</v>
      </c>
      <c r="AI211" t="str">
        <f t="shared" si="50"/>
        <v>NO</v>
      </c>
      <c r="AJ211" t="str">
        <f t="shared" si="50"/>
        <v>NO</v>
      </c>
      <c r="AK211" t="str">
        <f t="shared" si="50"/>
        <v>NO</v>
      </c>
      <c r="AL211" t="str">
        <f t="shared" si="50"/>
        <v/>
      </c>
      <c r="AN211" s="1196" t="str">
        <f t="shared" si="47"/>
        <v/>
      </c>
      <c r="BA211" s="1196" t="str">
        <f t="shared" si="48"/>
        <v/>
      </c>
    </row>
    <row r="212" spans="1:53" x14ac:dyDescent="0.35">
      <c r="A212" t="str">
        <f t="shared" si="43"/>
        <v>NO</v>
      </c>
      <c r="B212" t="str">
        <f t="shared" si="43"/>
        <v>NO</v>
      </c>
      <c r="C212" t="str">
        <f t="shared" si="43"/>
        <v>NO</v>
      </c>
      <c r="D212" t="str">
        <f t="shared" si="43"/>
        <v>NO</v>
      </c>
      <c r="E212" t="str">
        <f t="shared" si="43"/>
        <v>NO</v>
      </c>
      <c r="F212" t="str">
        <f t="shared" si="43"/>
        <v/>
      </c>
      <c r="H212" s="1196" t="str">
        <f t="shared" si="44"/>
        <v/>
      </c>
      <c r="Q212" t="str">
        <f t="shared" si="41"/>
        <v>NO</v>
      </c>
      <c r="R212" t="str">
        <f t="shared" si="49"/>
        <v>NO</v>
      </c>
      <c r="S212" t="str">
        <f t="shared" si="49"/>
        <v>NO</v>
      </c>
      <c r="T212" t="str">
        <f t="shared" si="49"/>
        <v>NO</v>
      </c>
      <c r="U212" t="str">
        <f t="shared" si="49"/>
        <v>NO</v>
      </c>
      <c r="V212" t="str">
        <f t="shared" si="49"/>
        <v/>
      </c>
      <c r="W212" t="str">
        <f t="shared" si="45"/>
        <v/>
      </c>
      <c r="X212" s="1196" t="str">
        <f t="shared" si="46"/>
        <v/>
      </c>
      <c r="AG212" t="str">
        <f t="shared" si="42"/>
        <v>NO</v>
      </c>
      <c r="AH212" t="str">
        <f t="shared" si="50"/>
        <v>NO</v>
      </c>
      <c r="AI212" t="str">
        <f t="shared" si="50"/>
        <v>NO</v>
      </c>
      <c r="AJ212" t="str">
        <f t="shared" si="50"/>
        <v>NO</v>
      </c>
      <c r="AK212" t="str">
        <f t="shared" si="50"/>
        <v>NO</v>
      </c>
      <c r="AL212" t="str">
        <f t="shared" si="50"/>
        <v/>
      </c>
      <c r="AN212" s="1196" t="str">
        <f t="shared" si="47"/>
        <v/>
      </c>
      <c r="BA212" s="1196" t="str">
        <f t="shared" si="48"/>
        <v/>
      </c>
    </row>
    <row r="213" spans="1:53" x14ac:dyDescent="0.35">
      <c r="A213" t="str">
        <f t="shared" si="43"/>
        <v>NO</v>
      </c>
      <c r="B213" t="str">
        <f t="shared" si="43"/>
        <v>NO</v>
      </c>
      <c r="C213" t="str">
        <f t="shared" si="43"/>
        <v>NO</v>
      </c>
      <c r="D213" t="str">
        <f t="shared" si="43"/>
        <v>NO</v>
      </c>
      <c r="E213" t="str">
        <f t="shared" si="43"/>
        <v>NO</v>
      </c>
      <c r="F213" t="str">
        <f t="shared" si="43"/>
        <v/>
      </c>
      <c r="H213" s="1196" t="str">
        <f t="shared" si="44"/>
        <v/>
      </c>
      <c r="Q213" t="str">
        <f t="shared" si="41"/>
        <v>NO</v>
      </c>
      <c r="R213" t="str">
        <f t="shared" si="49"/>
        <v>NO</v>
      </c>
      <c r="S213" t="str">
        <f t="shared" si="49"/>
        <v>NO</v>
      </c>
      <c r="T213" t="str">
        <f t="shared" si="49"/>
        <v>NO</v>
      </c>
      <c r="U213" t="str">
        <f t="shared" si="49"/>
        <v>NO</v>
      </c>
      <c r="V213" t="str">
        <f t="shared" si="49"/>
        <v/>
      </c>
      <c r="W213" t="str">
        <f t="shared" si="45"/>
        <v/>
      </c>
      <c r="X213" s="1196" t="str">
        <f t="shared" si="46"/>
        <v/>
      </c>
      <c r="AG213" t="str">
        <f t="shared" si="42"/>
        <v>NO</v>
      </c>
      <c r="AH213" t="str">
        <f t="shared" si="50"/>
        <v>NO</v>
      </c>
      <c r="AI213" t="str">
        <f t="shared" si="50"/>
        <v>NO</v>
      </c>
      <c r="AJ213" t="str">
        <f t="shared" si="50"/>
        <v>NO</v>
      </c>
      <c r="AK213" t="str">
        <f t="shared" si="50"/>
        <v>NO</v>
      </c>
      <c r="AL213" t="str">
        <f t="shared" si="50"/>
        <v/>
      </c>
      <c r="AN213" s="1196" t="str">
        <f t="shared" si="47"/>
        <v/>
      </c>
      <c r="BA213" s="1196" t="str">
        <f t="shared" si="48"/>
        <v/>
      </c>
    </row>
    <row r="214" spans="1:53" x14ac:dyDescent="0.35">
      <c r="A214" t="str">
        <f t="shared" si="43"/>
        <v>NO</v>
      </c>
      <c r="B214" t="str">
        <f t="shared" si="43"/>
        <v>NO</v>
      </c>
      <c r="C214" t="str">
        <f t="shared" si="43"/>
        <v>NO</v>
      </c>
      <c r="D214" t="str">
        <f t="shared" si="43"/>
        <v>NO</v>
      </c>
      <c r="E214" t="str">
        <f t="shared" si="43"/>
        <v>NO</v>
      </c>
      <c r="F214" t="str">
        <f t="shared" si="43"/>
        <v/>
      </c>
      <c r="H214" s="1196" t="str">
        <f t="shared" si="44"/>
        <v/>
      </c>
      <c r="Q214" t="str">
        <f t="shared" si="41"/>
        <v>NO</v>
      </c>
      <c r="R214" t="str">
        <f t="shared" si="49"/>
        <v>NO</v>
      </c>
      <c r="S214" t="str">
        <f t="shared" si="49"/>
        <v>NO</v>
      </c>
      <c r="T214" t="str">
        <f t="shared" si="49"/>
        <v>NO</v>
      </c>
      <c r="U214" t="str">
        <f t="shared" si="49"/>
        <v>NO</v>
      </c>
      <c r="V214" t="str">
        <f t="shared" si="49"/>
        <v/>
      </c>
      <c r="W214" t="str">
        <f t="shared" si="45"/>
        <v/>
      </c>
      <c r="X214" s="1196" t="str">
        <f t="shared" si="46"/>
        <v/>
      </c>
      <c r="AG214" t="str">
        <f t="shared" si="42"/>
        <v>NO</v>
      </c>
      <c r="AH214" t="str">
        <f t="shared" si="50"/>
        <v>NO</v>
      </c>
      <c r="AI214" t="str">
        <f t="shared" si="50"/>
        <v>NO</v>
      </c>
      <c r="AJ214" t="str">
        <f t="shared" si="50"/>
        <v>NO</v>
      </c>
      <c r="AK214" t="str">
        <f t="shared" si="50"/>
        <v>NO</v>
      </c>
      <c r="AL214" t="str">
        <f t="shared" si="50"/>
        <v/>
      </c>
      <c r="AN214" s="1196" t="str">
        <f t="shared" si="47"/>
        <v/>
      </c>
      <c r="BA214" s="1196" t="str">
        <f t="shared" si="48"/>
        <v/>
      </c>
    </row>
    <row r="215" spans="1:53" x14ac:dyDescent="0.35">
      <c r="A215" t="str">
        <f t="shared" si="43"/>
        <v>NO</v>
      </c>
      <c r="B215" t="str">
        <f t="shared" si="43"/>
        <v>NO</v>
      </c>
      <c r="C215" t="str">
        <f t="shared" si="43"/>
        <v>NO</v>
      </c>
      <c r="D215" t="str">
        <f t="shared" si="43"/>
        <v>NO</v>
      </c>
      <c r="E215" t="str">
        <f t="shared" si="43"/>
        <v>NO</v>
      </c>
      <c r="F215" t="str">
        <f t="shared" si="43"/>
        <v/>
      </c>
      <c r="H215" s="1196" t="str">
        <f t="shared" si="44"/>
        <v/>
      </c>
      <c r="Q215" t="str">
        <f t="shared" si="41"/>
        <v>NO</v>
      </c>
      <c r="R215" t="str">
        <f t="shared" si="49"/>
        <v>NO</v>
      </c>
      <c r="S215" t="str">
        <f t="shared" si="49"/>
        <v>NO</v>
      </c>
      <c r="T215" t="str">
        <f t="shared" si="49"/>
        <v>NO</v>
      </c>
      <c r="U215" t="str">
        <f t="shared" si="49"/>
        <v>NO</v>
      </c>
      <c r="V215" t="str">
        <f t="shared" si="49"/>
        <v/>
      </c>
      <c r="W215" t="str">
        <f t="shared" si="45"/>
        <v/>
      </c>
      <c r="X215" s="1196" t="str">
        <f t="shared" si="46"/>
        <v/>
      </c>
      <c r="AG215" t="str">
        <f t="shared" si="42"/>
        <v>NO</v>
      </c>
      <c r="AH215" t="str">
        <f t="shared" si="50"/>
        <v>NO</v>
      </c>
      <c r="AI215" t="str">
        <f t="shared" si="50"/>
        <v>NO</v>
      </c>
      <c r="AJ215" t="str">
        <f t="shared" si="50"/>
        <v>NO</v>
      </c>
      <c r="AK215" t="str">
        <f t="shared" si="50"/>
        <v>NO</v>
      </c>
      <c r="AL215" t="str">
        <f t="shared" si="50"/>
        <v/>
      </c>
      <c r="AN215" s="1196" t="str">
        <f t="shared" si="47"/>
        <v/>
      </c>
      <c r="BA215" s="1196" t="str">
        <f t="shared" si="48"/>
        <v/>
      </c>
    </row>
    <row r="216" spans="1:53" x14ac:dyDescent="0.35">
      <c r="A216" t="str">
        <f t="shared" si="43"/>
        <v>NO</v>
      </c>
      <c r="B216" t="str">
        <f t="shared" si="43"/>
        <v>NO</v>
      </c>
      <c r="C216" t="str">
        <f t="shared" si="43"/>
        <v>NO</v>
      </c>
      <c r="D216" t="str">
        <f t="shared" si="43"/>
        <v>NO</v>
      </c>
      <c r="E216" t="str">
        <f t="shared" si="43"/>
        <v>NO</v>
      </c>
      <c r="F216" t="str">
        <f t="shared" si="43"/>
        <v/>
      </c>
      <c r="H216" s="1196" t="str">
        <f t="shared" si="44"/>
        <v/>
      </c>
      <c r="Q216" t="str">
        <f t="shared" si="41"/>
        <v>NO</v>
      </c>
      <c r="R216" t="str">
        <f t="shared" si="49"/>
        <v>NO</v>
      </c>
      <c r="S216" t="str">
        <f t="shared" si="49"/>
        <v>NO</v>
      </c>
      <c r="T216" t="str">
        <f t="shared" si="49"/>
        <v>NO</v>
      </c>
      <c r="U216" t="str">
        <f t="shared" si="49"/>
        <v>NO</v>
      </c>
      <c r="V216" t="str">
        <f t="shared" si="49"/>
        <v/>
      </c>
      <c r="W216" t="str">
        <f t="shared" si="45"/>
        <v/>
      </c>
      <c r="X216" s="1196" t="str">
        <f t="shared" si="46"/>
        <v/>
      </c>
      <c r="AG216" t="str">
        <f t="shared" si="42"/>
        <v>NO</v>
      </c>
      <c r="AH216" t="str">
        <f t="shared" si="50"/>
        <v>NO</v>
      </c>
      <c r="AI216" t="str">
        <f t="shared" si="50"/>
        <v>NO</v>
      </c>
      <c r="AJ216" t="str">
        <f t="shared" si="50"/>
        <v>NO</v>
      </c>
      <c r="AK216" t="str">
        <f t="shared" si="50"/>
        <v>NO</v>
      </c>
      <c r="AL216" t="str">
        <f t="shared" si="50"/>
        <v/>
      </c>
      <c r="AN216" s="1196" t="str">
        <f t="shared" si="47"/>
        <v/>
      </c>
      <c r="BA216" s="1196" t="str">
        <f t="shared" si="48"/>
        <v/>
      </c>
    </row>
    <row r="217" spans="1:53" x14ac:dyDescent="0.35">
      <c r="A217" t="str">
        <f t="shared" ref="A217:F248" si="51">IFERROR(IF($K217=A$2,_xlfn.CONCAT($I217,$J217),"NO"),0)</f>
        <v>NO</v>
      </c>
      <c r="B217" t="str">
        <f t="shared" si="51"/>
        <v>NO</v>
      </c>
      <c r="C217" t="str">
        <f t="shared" si="51"/>
        <v>NO</v>
      </c>
      <c r="D217" t="str">
        <f t="shared" si="51"/>
        <v>NO</v>
      </c>
      <c r="E217" t="str">
        <f t="shared" si="51"/>
        <v>NO</v>
      </c>
      <c r="F217" t="str">
        <f t="shared" si="51"/>
        <v/>
      </c>
      <c r="H217" s="1196" t="str">
        <f t="shared" si="44"/>
        <v/>
      </c>
      <c r="Q217" t="str">
        <f t="shared" si="41"/>
        <v>NO</v>
      </c>
      <c r="R217" t="str">
        <f t="shared" si="49"/>
        <v>NO</v>
      </c>
      <c r="S217" t="str">
        <f t="shared" si="49"/>
        <v>NO</v>
      </c>
      <c r="T217" t="str">
        <f t="shared" si="49"/>
        <v>NO</v>
      </c>
      <c r="U217" t="str">
        <f t="shared" si="49"/>
        <v>NO</v>
      </c>
      <c r="V217" t="str">
        <f t="shared" si="49"/>
        <v/>
      </c>
      <c r="W217" t="str">
        <f t="shared" si="45"/>
        <v/>
      </c>
      <c r="X217" s="1196" t="str">
        <f t="shared" si="46"/>
        <v/>
      </c>
      <c r="AG217" t="str">
        <f t="shared" si="42"/>
        <v>NO</v>
      </c>
      <c r="AH217" t="str">
        <f t="shared" si="50"/>
        <v>NO</v>
      </c>
      <c r="AI217" t="str">
        <f t="shared" si="50"/>
        <v>NO</v>
      </c>
      <c r="AJ217" t="str">
        <f t="shared" si="50"/>
        <v>NO</v>
      </c>
      <c r="AK217" t="str">
        <f t="shared" si="50"/>
        <v>NO</v>
      </c>
      <c r="AL217" t="str">
        <f t="shared" si="50"/>
        <v/>
      </c>
      <c r="AN217" s="1196" t="str">
        <f t="shared" si="47"/>
        <v/>
      </c>
      <c r="BA217" s="1196" t="str">
        <f t="shared" si="48"/>
        <v/>
      </c>
    </row>
    <row r="218" spans="1:53" x14ac:dyDescent="0.35">
      <c r="A218" t="str">
        <f t="shared" si="51"/>
        <v>NO</v>
      </c>
      <c r="B218" t="str">
        <f t="shared" si="51"/>
        <v>NO</v>
      </c>
      <c r="C218" t="str">
        <f t="shared" si="51"/>
        <v>NO</v>
      </c>
      <c r="D218" t="str">
        <f t="shared" si="51"/>
        <v>NO</v>
      </c>
      <c r="E218" t="str">
        <f t="shared" si="51"/>
        <v>NO</v>
      </c>
      <c r="F218" t="str">
        <f t="shared" si="51"/>
        <v/>
      </c>
      <c r="H218" s="1196" t="str">
        <f t="shared" si="44"/>
        <v/>
      </c>
      <c r="Q218" t="str">
        <f t="shared" si="41"/>
        <v>NO</v>
      </c>
      <c r="R218" t="str">
        <f t="shared" si="49"/>
        <v>NO</v>
      </c>
      <c r="S218" t="str">
        <f t="shared" si="49"/>
        <v>NO</v>
      </c>
      <c r="T218" t="str">
        <f t="shared" si="49"/>
        <v>NO</v>
      </c>
      <c r="U218" t="str">
        <f t="shared" si="49"/>
        <v>NO</v>
      </c>
      <c r="V218" t="str">
        <f t="shared" si="49"/>
        <v/>
      </c>
      <c r="W218" t="str">
        <f t="shared" si="45"/>
        <v/>
      </c>
      <c r="X218" s="1196" t="str">
        <f t="shared" si="46"/>
        <v/>
      </c>
      <c r="AG218" t="str">
        <f t="shared" si="42"/>
        <v>NO</v>
      </c>
      <c r="AH218" t="str">
        <f t="shared" si="50"/>
        <v>NO</v>
      </c>
      <c r="AI218" t="str">
        <f t="shared" si="50"/>
        <v>NO</v>
      </c>
      <c r="AJ218" t="str">
        <f t="shared" si="50"/>
        <v>NO</v>
      </c>
      <c r="AK218" t="str">
        <f t="shared" si="50"/>
        <v>NO</v>
      </c>
      <c r="AL218" t="str">
        <f t="shared" si="50"/>
        <v/>
      </c>
      <c r="AN218" s="1196" t="str">
        <f t="shared" si="47"/>
        <v/>
      </c>
      <c r="BA218" s="1196" t="str">
        <f t="shared" si="48"/>
        <v/>
      </c>
    </row>
    <row r="219" spans="1:53" x14ac:dyDescent="0.35">
      <c r="A219" t="str">
        <f t="shared" si="51"/>
        <v>NO</v>
      </c>
      <c r="B219" t="str">
        <f t="shared" si="51"/>
        <v>NO</v>
      </c>
      <c r="C219" t="str">
        <f t="shared" si="51"/>
        <v>NO</v>
      </c>
      <c r="D219" t="str">
        <f t="shared" si="51"/>
        <v>NO</v>
      </c>
      <c r="E219" t="str">
        <f t="shared" si="51"/>
        <v>NO</v>
      </c>
      <c r="F219" t="str">
        <f t="shared" si="51"/>
        <v/>
      </c>
      <c r="H219" s="1196" t="str">
        <f t="shared" si="44"/>
        <v/>
      </c>
      <c r="Q219" t="str">
        <f t="shared" si="41"/>
        <v>NO</v>
      </c>
      <c r="R219" t="str">
        <f t="shared" si="49"/>
        <v>NO</v>
      </c>
      <c r="S219" t="str">
        <f t="shared" si="49"/>
        <v>NO</v>
      </c>
      <c r="T219" t="str">
        <f t="shared" si="49"/>
        <v>NO</v>
      </c>
      <c r="U219" t="str">
        <f t="shared" si="49"/>
        <v>NO</v>
      </c>
      <c r="V219" t="str">
        <f t="shared" si="49"/>
        <v/>
      </c>
      <c r="W219" t="str">
        <f t="shared" si="45"/>
        <v/>
      </c>
      <c r="X219" s="1196" t="str">
        <f t="shared" si="46"/>
        <v/>
      </c>
      <c r="AG219" t="str">
        <f t="shared" si="42"/>
        <v>NO</v>
      </c>
      <c r="AH219" t="str">
        <f t="shared" si="50"/>
        <v>NO</v>
      </c>
      <c r="AI219" t="str">
        <f t="shared" si="50"/>
        <v>NO</v>
      </c>
      <c r="AJ219" t="str">
        <f t="shared" si="50"/>
        <v>NO</v>
      </c>
      <c r="AK219" t="str">
        <f t="shared" si="50"/>
        <v>NO</v>
      </c>
      <c r="AL219" t="str">
        <f t="shared" si="50"/>
        <v/>
      </c>
      <c r="AN219" s="1196" t="str">
        <f t="shared" si="47"/>
        <v/>
      </c>
      <c r="BA219" s="1196" t="str">
        <f t="shared" si="48"/>
        <v/>
      </c>
    </row>
    <row r="220" spans="1:53" x14ac:dyDescent="0.35">
      <c r="A220" t="str">
        <f t="shared" si="51"/>
        <v>NO</v>
      </c>
      <c r="B220" t="str">
        <f t="shared" si="51"/>
        <v>NO</v>
      </c>
      <c r="C220" t="str">
        <f t="shared" si="51"/>
        <v>NO</v>
      </c>
      <c r="D220" t="str">
        <f t="shared" si="51"/>
        <v>NO</v>
      </c>
      <c r="E220" t="str">
        <f t="shared" si="51"/>
        <v>NO</v>
      </c>
      <c r="F220" t="str">
        <f t="shared" si="51"/>
        <v/>
      </c>
      <c r="H220" s="1196" t="str">
        <f t="shared" si="44"/>
        <v/>
      </c>
      <c r="Q220" t="str">
        <f t="shared" si="41"/>
        <v>NO</v>
      </c>
      <c r="R220" t="str">
        <f t="shared" si="49"/>
        <v>NO</v>
      </c>
      <c r="S220" t="str">
        <f t="shared" si="49"/>
        <v>NO</v>
      </c>
      <c r="T220" t="str">
        <f t="shared" si="49"/>
        <v>NO</v>
      </c>
      <c r="U220" t="str">
        <f t="shared" si="49"/>
        <v>NO</v>
      </c>
      <c r="V220" t="str">
        <f t="shared" si="49"/>
        <v/>
      </c>
      <c r="W220" t="str">
        <f t="shared" si="45"/>
        <v/>
      </c>
      <c r="X220" s="1196" t="str">
        <f t="shared" si="46"/>
        <v/>
      </c>
      <c r="AG220" t="str">
        <f t="shared" si="42"/>
        <v>NO</v>
      </c>
      <c r="AH220" t="str">
        <f t="shared" si="50"/>
        <v>NO</v>
      </c>
      <c r="AI220" t="str">
        <f t="shared" si="50"/>
        <v>NO</v>
      </c>
      <c r="AJ220" t="str">
        <f t="shared" si="50"/>
        <v>NO</v>
      </c>
      <c r="AK220" t="str">
        <f t="shared" si="50"/>
        <v>NO</v>
      </c>
      <c r="AL220" t="str">
        <f t="shared" si="50"/>
        <v/>
      </c>
      <c r="AN220" s="1196" t="str">
        <f t="shared" si="47"/>
        <v/>
      </c>
      <c r="BA220" s="1196" t="str">
        <f t="shared" si="48"/>
        <v/>
      </c>
    </row>
    <row r="221" spans="1:53" x14ac:dyDescent="0.35">
      <c r="A221" t="str">
        <f t="shared" si="51"/>
        <v>NO</v>
      </c>
      <c r="B221" t="str">
        <f t="shared" si="51"/>
        <v>NO</v>
      </c>
      <c r="C221" t="str">
        <f t="shared" si="51"/>
        <v>NO</v>
      </c>
      <c r="D221" t="str">
        <f t="shared" si="51"/>
        <v>NO</v>
      </c>
      <c r="E221" t="str">
        <f t="shared" si="51"/>
        <v>NO</v>
      </c>
      <c r="F221" t="str">
        <f t="shared" si="51"/>
        <v/>
      </c>
      <c r="H221" s="1196" t="str">
        <f t="shared" si="44"/>
        <v/>
      </c>
      <c r="Q221" t="str">
        <f t="shared" si="41"/>
        <v>NO</v>
      </c>
      <c r="R221" t="str">
        <f t="shared" si="49"/>
        <v>NO</v>
      </c>
      <c r="S221" t="str">
        <f t="shared" si="49"/>
        <v>NO</v>
      </c>
      <c r="T221" t="str">
        <f t="shared" si="49"/>
        <v>NO</v>
      </c>
      <c r="U221" t="str">
        <f t="shared" si="49"/>
        <v>NO</v>
      </c>
      <c r="V221" t="str">
        <f t="shared" si="49"/>
        <v/>
      </c>
      <c r="W221" t="str">
        <f t="shared" si="45"/>
        <v/>
      </c>
      <c r="X221" s="1196" t="str">
        <f t="shared" si="46"/>
        <v/>
      </c>
      <c r="AG221" t="str">
        <f t="shared" si="42"/>
        <v>NO</v>
      </c>
      <c r="AH221" t="str">
        <f t="shared" si="50"/>
        <v>NO</v>
      </c>
      <c r="AI221" t="str">
        <f t="shared" si="50"/>
        <v>NO</v>
      </c>
      <c r="AJ221" t="str">
        <f t="shared" si="50"/>
        <v>NO</v>
      </c>
      <c r="AK221" t="str">
        <f t="shared" si="50"/>
        <v>NO</v>
      </c>
      <c r="AL221" t="str">
        <f t="shared" si="50"/>
        <v/>
      </c>
      <c r="AN221" s="1196" t="str">
        <f t="shared" si="47"/>
        <v/>
      </c>
      <c r="BA221" s="1196" t="str">
        <f t="shared" si="48"/>
        <v/>
      </c>
    </row>
    <row r="222" spans="1:53" x14ac:dyDescent="0.35">
      <c r="A222" t="str">
        <f t="shared" si="51"/>
        <v>NO</v>
      </c>
      <c r="B222" t="str">
        <f t="shared" si="51"/>
        <v>NO</v>
      </c>
      <c r="C222" t="str">
        <f t="shared" si="51"/>
        <v>NO</v>
      </c>
      <c r="D222" t="str">
        <f t="shared" si="51"/>
        <v>NO</v>
      </c>
      <c r="E222" t="str">
        <f t="shared" si="51"/>
        <v>NO</v>
      </c>
      <c r="F222" t="str">
        <f t="shared" si="51"/>
        <v/>
      </c>
      <c r="H222" s="1196" t="str">
        <f t="shared" si="44"/>
        <v/>
      </c>
      <c r="Q222" t="str">
        <f t="shared" si="41"/>
        <v>NO</v>
      </c>
      <c r="R222" t="str">
        <f t="shared" si="49"/>
        <v>NO</v>
      </c>
      <c r="S222" t="str">
        <f t="shared" si="49"/>
        <v>NO</v>
      </c>
      <c r="T222" t="str">
        <f t="shared" si="49"/>
        <v>NO</v>
      </c>
      <c r="U222" t="str">
        <f t="shared" si="49"/>
        <v>NO</v>
      </c>
      <c r="V222" t="str">
        <f t="shared" si="49"/>
        <v/>
      </c>
      <c r="W222" t="str">
        <f t="shared" si="45"/>
        <v/>
      </c>
      <c r="X222" s="1196" t="str">
        <f t="shared" si="46"/>
        <v/>
      </c>
      <c r="AG222" t="str">
        <f t="shared" si="42"/>
        <v>NO</v>
      </c>
      <c r="AH222" t="str">
        <f t="shared" si="50"/>
        <v>NO</v>
      </c>
      <c r="AI222" t="str">
        <f t="shared" si="50"/>
        <v>NO</v>
      </c>
      <c r="AJ222" t="str">
        <f t="shared" si="50"/>
        <v>NO</v>
      </c>
      <c r="AK222" t="str">
        <f t="shared" si="50"/>
        <v>NO</v>
      </c>
      <c r="AL222" t="str">
        <f t="shared" si="50"/>
        <v/>
      </c>
      <c r="AN222" s="1196" t="str">
        <f t="shared" si="47"/>
        <v/>
      </c>
      <c r="BA222" s="1196" t="str">
        <f t="shared" si="48"/>
        <v/>
      </c>
    </row>
    <row r="223" spans="1:53" x14ac:dyDescent="0.35">
      <c r="A223" t="str">
        <f t="shared" si="51"/>
        <v>NO</v>
      </c>
      <c r="B223" t="str">
        <f t="shared" si="51"/>
        <v>NO</v>
      </c>
      <c r="C223" t="str">
        <f t="shared" si="51"/>
        <v>NO</v>
      </c>
      <c r="D223" t="str">
        <f t="shared" si="51"/>
        <v>NO</v>
      </c>
      <c r="E223" t="str">
        <f t="shared" si="51"/>
        <v>NO</v>
      </c>
      <c r="F223" t="str">
        <f t="shared" si="51"/>
        <v/>
      </c>
      <c r="H223" s="1196" t="str">
        <f t="shared" si="44"/>
        <v/>
      </c>
      <c r="Q223" t="str">
        <f t="shared" si="41"/>
        <v>NO</v>
      </c>
      <c r="R223" t="str">
        <f t="shared" si="49"/>
        <v>NO</v>
      </c>
      <c r="S223" t="str">
        <f t="shared" si="49"/>
        <v>NO</v>
      </c>
      <c r="T223" t="str">
        <f t="shared" si="49"/>
        <v>NO</v>
      </c>
      <c r="U223" t="str">
        <f t="shared" si="49"/>
        <v>NO</v>
      </c>
      <c r="V223" t="str">
        <f t="shared" si="49"/>
        <v/>
      </c>
      <c r="W223" t="str">
        <f t="shared" si="45"/>
        <v/>
      </c>
      <c r="X223" s="1196" t="str">
        <f t="shared" si="46"/>
        <v/>
      </c>
      <c r="AG223" t="str">
        <f t="shared" si="42"/>
        <v>NO</v>
      </c>
      <c r="AH223" t="str">
        <f t="shared" si="50"/>
        <v>NO</v>
      </c>
      <c r="AI223" t="str">
        <f t="shared" si="50"/>
        <v>NO</v>
      </c>
      <c r="AJ223" t="str">
        <f t="shared" si="50"/>
        <v>NO</v>
      </c>
      <c r="AK223" t="str">
        <f t="shared" si="50"/>
        <v>NO</v>
      </c>
      <c r="AL223" t="str">
        <f t="shared" si="50"/>
        <v/>
      </c>
      <c r="AN223" s="1196" t="str">
        <f t="shared" si="47"/>
        <v/>
      </c>
      <c r="BA223" s="1196" t="str">
        <f t="shared" si="48"/>
        <v/>
      </c>
    </row>
    <row r="224" spans="1:53" x14ac:dyDescent="0.35">
      <c r="A224" t="str">
        <f t="shared" si="51"/>
        <v>NO</v>
      </c>
      <c r="B224" t="str">
        <f t="shared" si="51"/>
        <v>NO</v>
      </c>
      <c r="C224" t="str">
        <f t="shared" si="51"/>
        <v>NO</v>
      </c>
      <c r="D224" t="str">
        <f t="shared" si="51"/>
        <v>NO</v>
      </c>
      <c r="E224" t="str">
        <f t="shared" si="51"/>
        <v>NO</v>
      </c>
      <c r="F224" t="str">
        <f t="shared" si="51"/>
        <v/>
      </c>
      <c r="H224" s="1196" t="str">
        <f t="shared" si="44"/>
        <v/>
      </c>
      <c r="Q224" t="str">
        <f t="shared" si="41"/>
        <v>NO</v>
      </c>
      <c r="R224" t="str">
        <f t="shared" si="49"/>
        <v>NO</v>
      </c>
      <c r="S224" t="str">
        <f t="shared" si="49"/>
        <v>NO</v>
      </c>
      <c r="T224" t="str">
        <f t="shared" si="49"/>
        <v>NO</v>
      </c>
      <c r="U224" t="str">
        <f t="shared" si="49"/>
        <v>NO</v>
      </c>
      <c r="V224" t="str">
        <f t="shared" si="49"/>
        <v/>
      </c>
      <c r="W224" t="str">
        <f t="shared" si="45"/>
        <v/>
      </c>
      <c r="X224" s="1196" t="str">
        <f t="shared" si="46"/>
        <v/>
      </c>
      <c r="AG224" t="str">
        <f t="shared" si="42"/>
        <v>NO</v>
      </c>
      <c r="AH224" t="str">
        <f t="shared" si="50"/>
        <v>NO</v>
      </c>
      <c r="AI224" t="str">
        <f t="shared" si="50"/>
        <v>NO</v>
      </c>
      <c r="AJ224" t="str">
        <f t="shared" si="50"/>
        <v>NO</v>
      </c>
      <c r="AK224" t="str">
        <f t="shared" si="50"/>
        <v>NO</v>
      </c>
      <c r="AL224" t="str">
        <f t="shared" si="50"/>
        <v/>
      </c>
      <c r="AN224" s="1196" t="str">
        <f t="shared" si="47"/>
        <v/>
      </c>
      <c r="BA224" s="1196" t="str">
        <f t="shared" si="48"/>
        <v/>
      </c>
    </row>
    <row r="225" spans="1:53" x14ac:dyDescent="0.35">
      <c r="A225" t="str">
        <f t="shared" si="51"/>
        <v>NO</v>
      </c>
      <c r="B225" t="str">
        <f t="shared" si="51"/>
        <v>NO</v>
      </c>
      <c r="C225" t="str">
        <f t="shared" si="51"/>
        <v>NO</v>
      </c>
      <c r="D225" t="str">
        <f t="shared" si="51"/>
        <v>NO</v>
      </c>
      <c r="E225" t="str">
        <f t="shared" si="51"/>
        <v>NO</v>
      </c>
      <c r="F225" t="str">
        <f t="shared" si="51"/>
        <v/>
      </c>
      <c r="H225" s="1196" t="str">
        <f t="shared" si="44"/>
        <v/>
      </c>
      <c r="Q225" t="str">
        <f t="shared" si="41"/>
        <v>NO</v>
      </c>
      <c r="R225" t="str">
        <f t="shared" si="49"/>
        <v>NO</v>
      </c>
      <c r="S225" t="str">
        <f t="shared" si="49"/>
        <v>NO</v>
      </c>
      <c r="T225" t="str">
        <f t="shared" si="49"/>
        <v>NO</v>
      </c>
      <c r="U225" t="str">
        <f t="shared" si="49"/>
        <v>NO</v>
      </c>
      <c r="V225" t="str">
        <f t="shared" si="49"/>
        <v/>
      </c>
      <c r="W225" t="str">
        <f t="shared" si="45"/>
        <v/>
      </c>
      <c r="X225" s="1196" t="str">
        <f t="shared" si="46"/>
        <v/>
      </c>
      <c r="AG225" t="str">
        <f t="shared" si="42"/>
        <v>NO</v>
      </c>
      <c r="AH225" t="str">
        <f t="shared" si="50"/>
        <v>NO</v>
      </c>
      <c r="AI225" t="str">
        <f t="shared" si="50"/>
        <v>NO</v>
      </c>
      <c r="AJ225" t="str">
        <f t="shared" si="50"/>
        <v>NO</v>
      </c>
      <c r="AK225" t="str">
        <f t="shared" si="50"/>
        <v>NO</v>
      </c>
      <c r="AL225" t="str">
        <f t="shared" si="50"/>
        <v/>
      </c>
      <c r="AN225" s="1196" t="str">
        <f t="shared" si="47"/>
        <v/>
      </c>
      <c r="BA225" s="1196" t="str">
        <f t="shared" si="48"/>
        <v/>
      </c>
    </row>
    <row r="226" spans="1:53" x14ac:dyDescent="0.35">
      <c r="A226" t="str">
        <f t="shared" si="51"/>
        <v>NO</v>
      </c>
      <c r="B226" t="str">
        <f t="shared" si="51"/>
        <v>NO</v>
      </c>
      <c r="C226" t="str">
        <f t="shared" si="51"/>
        <v>NO</v>
      </c>
      <c r="D226" t="str">
        <f t="shared" si="51"/>
        <v>NO</v>
      </c>
      <c r="E226" t="str">
        <f t="shared" si="51"/>
        <v>NO</v>
      </c>
      <c r="F226" t="str">
        <f t="shared" si="51"/>
        <v/>
      </c>
      <c r="H226" s="1196" t="str">
        <f t="shared" si="44"/>
        <v/>
      </c>
      <c r="Q226" t="str">
        <f t="shared" si="41"/>
        <v>NO</v>
      </c>
      <c r="R226" t="str">
        <f t="shared" si="49"/>
        <v>NO</v>
      </c>
      <c r="S226" t="str">
        <f t="shared" si="49"/>
        <v>NO</v>
      </c>
      <c r="T226" t="str">
        <f t="shared" si="49"/>
        <v>NO</v>
      </c>
      <c r="U226" t="str">
        <f t="shared" si="49"/>
        <v>NO</v>
      </c>
      <c r="V226" t="str">
        <f t="shared" si="49"/>
        <v/>
      </c>
      <c r="W226" t="str">
        <f t="shared" si="45"/>
        <v/>
      </c>
      <c r="X226" s="1196" t="str">
        <f t="shared" si="46"/>
        <v/>
      </c>
      <c r="AG226" t="str">
        <f t="shared" si="42"/>
        <v>NO</v>
      </c>
      <c r="AH226" t="str">
        <f t="shared" si="50"/>
        <v>NO</v>
      </c>
      <c r="AI226" t="str">
        <f t="shared" si="50"/>
        <v>NO</v>
      </c>
      <c r="AJ226" t="str">
        <f t="shared" si="50"/>
        <v>NO</v>
      </c>
      <c r="AK226" t="str">
        <f t="shared" si="50"/>
        <v>NO</v>
      </c>
      <c r="AL226" t="str">
        <f t="shared" si="50"/>
        <v/>
      </c>
      <c r="AN226" s="1196" t="str">
        <f t="shared" si="47"/>
        <v/>
      </c>
      <c r="BA226" s="1196" t="str">
        <f t="shared" si="48"/>
        <v/>
      </c>
    </row>
    <row r="227" spans="1:53" x14ac:dyDescent="0.35">
      <c r="A227" t="str">
        <f t="shared" si="51"/>
        <v>NO</v>
      </c>
      <c r="B227" t="str">
        <f t="shared" si="51"/>
        <v>NO</v>
      </c>
      <c r="C227" t="str">
        <f t="shared" si="51"/>
        <v>NO</v>
      </c>
      <c r="D227" t="str">
        <f t="shared" si="51"/>
        <v>NO</v>
      </c>
      <c r="E227" t="str">
        <f t="shared" si="51"/>
        <v>NO</v>
      </c>
      <c r="F227" t="str">
        <f t="shared" si="51"/>
        <v/>
      </c>
      <c r="H227" s="1196" t="str">
        <f t="shared" si="44"/>
        <v/>
      </c>
      <c r="Q227" t="str">
        <f t="shared" si="41"/>
        <v>NO</v>
      </c>
      <c r="R227" t="str">
        <f t="shared" si="49"/>
        <v>NO</v>
      </c>
      <c r="S227" t="str">
        <f t="shared" si="49"/>
        <v>NO</v>
      </c>
      <c r="T227" t="str">
        <f t="shared" si="49"/>
        <v>NO</v>
      </c>
      <c r="U227" t="str">
        <f t="shared" si="49"/>
        <v>NO</v>
      </c>
      <c r="V227" t="str">
        <f t="shared" si="49"/>
        <v/>
      </c>
      <c r="W227" t="str">
        <f t="shared" si="45"/>
        <v/>
      </c>
      <c r="X227" s="1196" t="str">
        <f t="shared" si="46"/>
        <v/>
      </c>
      <c r="AG227" t="str">
        <f t="shared" si="42"/>
        <v>NO</v>
      </c>
      <c r="AH227" t="str">
        <f t="shared" si="50"/>
        <v>NO</v>
      </c>
      <c r="AI227" t="str">
        <f t="shared" si="50"/>
        <v>NO</v>
      </c>
      <c r="AJ227" t="str">
        <f t="shared" si="50"/>
        <v>NO</v>
      </c>
      <c r="AK227" t="str">
        <f t="shared" si="50"/>
        <v>NO</v>
      </c>
      <c r="AL227" t="str">
        <f t="shared" si="50"/>
        <v/>
      </c>
      <c r="AN227" s="1196" t="str">
        <f t="shared" si="47"/>
        <v/>
      </c>
      <c r="BA227" s="1196" t="str">
        <f t="shared" si="48"/>
        <v/>
      </c>
    </row>
    <row r="228" spans="1:53" x14ac:dyDescent="0.35">
      <c r="A228" t="str">
        <f t="shared" si="51"/>
        <v>NO</v>
      </c>
      <c r="B228" t="str">
        <f t="shared" si="51"/>
        <v>NO</v>
      </c>
      <c r="C228" t="str">
        <f t="shared" si="51"/>
        <v>NO</v>
      </c>
      <c r="D228" t="str">
        <f t="shared" si="51"/>
        <v>NO</v>
      </c>
      <c r="E228" t="str">
        <f t="shared" si="51"/>
        <v>NO</v>
      </c>
      <c r="F228" t="str">
        <f t="shared" si="51"/>
        <v/>
      </c>
      <c r="H228" s="1196" t="str">
        <f t="shared" si="44"/>
        <v/>
      </c>
      <c r="Q228" t="str">
        <f t="shared" si="41"/>
        <v>NO</v>
      </c>
      <c r="R228" t="str">
        <f t="shared" si="49"/>
        <v>NO</v>
      </c>
      <c r="S228" t="str">
        <f t="shared" si="49"/>
        <v>NO</v>
      </c>
      <c r="T228" t="str">
        <f t="shared" si="49"/>
        <v>NO</v>
      </c>
      <c r="U228" t="str">
        <f t="shared" si="49"/>
        <v>NO</v>
      </c>
      <c r="V228" t="str">
        <f t="shared" si="49"/>
        <v/>
      </c>
      <c r="W228" t="str">
        <f t="shared" si="45"/>
        <v/>
      </c>
      <c r="X228" s="1196" t="str">
        <f t="shared" si="46"/>
        <v/>
      </c>
      <c r="AG228" t="str">
        <f t="shared" si="42"/>
        <v>NO</v>
      </c>
      <c r="AH228" t="str">
        <f t="shared" si="50"/>
        <v>NO</v>
      </c>
      <c r="AI228" t="str">
        <f t="shared" si="50"/>
        <v>NO</v>
      </c>
      <c r="AJ228" t="str">
        <f t="shared" si="50"/>
        <v>NO</v>
      </c>
      <c r="AK228" t="str">
        <f t="shared" si="50"/>
        <v>NO</v>
      </c>
      <c r="AL228" t="str">
        <f t="shared" si="50"/>
        <v/>
      </c>
      <c r="AN228" s="1196" t="str">
        <f t="shared" si="47"/>
        <v/>
      </c>
      <c r="BA228" s="1196" t="str">
        <f t="shared" si="48"/>
        <v/>
      </c>
    </row>
    <row r="229" spans="1:53" x14ac:dyDescent="0.35">
      <c r="A229" t="str">
        <f t="shared" si="51"/>
        <v>NO</v>
      </c>
      <c r="B229" t="str">
        <f t="shared" si="51"/>
        <v>NO</v>
      </c>
      <c r="C229" t="str">
        <f t="shared" si="51"/>
        <v>NO</v>
      </c>
      <c r="D229" t="str">
        <f t="shared" si="51"/>
        <v>NO</v>
      </c>
      <c r="E229" t="str">
        <f t="shared" si="51"/>
        <v>NO</v>
      </c>
      <c r="F229" t="str">
        <f t="shared" si="51"/>
        <v/>
      </c>
      <c r="H229" s="1196" t="str">
        <f t="shared" si="44"/>
        <v/>
      </c>
      <c r="Q229" t="str">
        <f t="shared" si="41"/>
        <v>NO</v>
      </c>
      <c r="R229" t="str">
        <f t="shared" si="49"/>
        <v>NO</v>
      </c>
      <c r="S229" t="str">
        <f t="shared" si="49"/>
        <v>NO</v>
      </c>
      <c r="T229" t="str">
        <f t="shared" si="49"/>
        <v>NO</v>
      </c>
      <c r="U229" t="str">
        <f t="shared" si="49"/>
        <v>NO</v>
      </c>
      <c r="V229" t="str">
        <f t="shared" si="49"/>
        <v/>
      </c>
      <c r="W229" t="str">
        <f t="shared" si="45"/>
        <v/>
      </c>
      <c r="X229" s="1196" t="str">
        <f t="shared" si="46"/>
        <v/>
      </c>
      <c r="AG229" t="str">
        <f t="shared" si="42"/>
        <v>NO</v>
      </c>
      <c r="AH229" t="str">
        <f t="shared" si="50"/>
        <v>NO</v>
      </c>
      <c r="AI229" t="str">
        <f t="shared" si="50"/>
        <v>NO</v>
      </c>
      <c r="AJ229" t="str">
        <f t="shared" si="50"/>
        <v>NO</v>
      </c>
      <c r="AK229" t="str">
        <f t="shared" si="50"/>
        <v>NO</v>
      </c>
      <c r="AL229" t="str">
        <f t="shared" si="50"/>
        <v/>
      </c>
      <c r="AN229" s="1196" t="str">
        <f t="shared" si="47"/>
        <v/>
      </c>
      <c r="BA229" s="1196" t="str">
        <f t="shared" si="48"/>
        <v/>
      </c>
    </row>
    <row r="230" spans="1:53" x14ac:dyDescent="0.35">
      <c r="A230" t="str">
        <f t="shared" si="51"/>
        <v>NO</v>
      </c>
      <c r="B230" t="str">
        <f t="shared" si="51"/>
        <v>NO</v>
      </c>
      <c r="C230" t="str">
        <f t="shared" si="51"/>
        <v>NO</v>
      </c>
      <c r="D230" t="str">
        <f t="shared" si="51"/>
        <v>NO</v>
      </c>
      <c r="E230" t="str">
        <f t="shared" si="51"/>
        <v>NO</v>
      </c>
      <c r="F230" t="str">
        <f t="shared" si="51"/>
        <v/>
      </c>
      <c r="H230" s="1196" t="str">
        <f t="shared" si="44"/>
        <v/>
      </c>
      <c r="Q230" t="str">
        <f t="shared" ref="Q230:Q280" si="52">IFERROR(IF($AA230=Q$2,_xlfn.CONCAT($Y230,$Z230),"NO"),0)</f>
        <v>NO</v>
      </c>
      <c r="R230" t="str">
        <f t="shared" si="49"/>
        <v>NO</v>
      </c>
      <c r="S230" t="str">
        <f t="shared" si="49"/>
        <v>NO</v>
      </c>
      <c r="T230" t="str">
        <f t="shared" si="49"/>
        <v>NO</v>
      </c>
      <c r="U230" t="str">
        <f t="shared" si="49"/>
        <v>NO</v>
      </c>
      <c r="V230" t="str">
        <f t="shared" si="49"/>
        <v/>
      </c>
      <c r="W230" t="str">
        <f t="shared" si="45"/>
        <v/>
      </c>
      <c r="X230" s="1196" t="str">
        <f t="shared" si="46"/>
        <v/>
      </c>
      <c r="AG230" t="str">
        <f t="shared" ref="AG230:AG280" si="53">IFERROR(IF($AQ230=AG$2,_xlfn.CONCAT($AO230,$AP230),"NO"),0)</f>
        <v>NO</v>
      </c>
      <c r="AH230" t="str">
        <f t="shared" si="50"/>
        <v>NO</v>
      </c>
      <c r="AI230" t="str">
        <f t="shared" si="50"/>
        <v>NO</v>
      </c>
      <c r="AJ230" t="str">
        <f t="shared" si="50"/>
        <v>NO</v>
      </c>
      <c r="AK230" t="str">
        <f t="shared" si="50"/>
        <v>NO</v>
      </c>
      <c r="AL230" t="str">
        <f t="shared" si="50"/>
        <v/>
      </c>
      <c r="AN230" s="1196" t="str">
        <f t="shared" si="47"/>
        <v/>
      </c>
      <c r="BA230" s="1196" t="str">
        <f t="shared" si="48"/>
        <v/>
      </c>
    </row>
    <row r="231" spans="1:53" x14ac:dyDescent="0.35">
      <c r="A231" t="str">
        <f t="shared" si="51"/>
        <v>NO</v>
      </c>
      <c r="B231" t="str">
        <f t="shared" si="51"/>
        <v>NO</v>
      </c>
      <c r="C231" t="str">
        <f t="shared" si="51"/>
        <v>NO</v>
      </c>
      <c r="D231" t="str">
        <f t="shared" si="51"/>
        <v>NO</v>
      </c>
      <c r="E231" t="str">
        <f t="shared" si="51"/>
        <v>NO</v>
      </c>
      <c r="F231" t="str">
        <f t="shared" si="51"/>
        <v/>
      </c>
      <c r="H231" s="1196" t="str">
        <f t="shared" si="44"/>
        <v/>
      </c>
      <c r="Q231" t="str">
        <f t="shared" si="52"/>
        <v>NO</v>
      </c>
      <c r="R231" t="str">
        <f t="shared" si="49"/>
        <v>NO</v>
      </c>
      <c r="S231" t="str">
        <f t="shared" si="49"/>
        <v>NO</v>
      </c>
      <c r="T231" t="str">
        <f t="shared" si="49"/>
        <v>NO</v>
      </c>
      <c r="U231" t="str">
        <f t="shared" si="49"/>
        <v>NO</v>
      </c>
      <c r="V231" t="str">
        <f t="shared" si="49"/>
        <v/>
      </c>
      <c r="W231" t="str">
        <f t="shared" si="45"/>
        <v/>
      </c>
      <c r="X231" s="1196" t="str">
        <f t="shared" si="46"/>
        <v/>
      </c>
      <c r="AG231" t="str">
        <f t="shared" si="53"/>
        <v>NO</v>
      </c>
      <c r="AH231" t="str">
        <f t="shared" si="50"/>
        <v>NO</v>
      </c>
      <c r="AI231" t="str">
        <f t="shared" si="50"/>
        <v>NO</v>
      </c>
      <c r="AJ231" t="str">
        <f t="shared" si="50"/>
        <v>NO</v>
      </c>
      <c r="AK231" t="str">
        <f t="shared" si="50"/>
        <v>NO</v>
      </c>
      <c r="AL231" t="str">
        <f t="shared" si="50"/>
        <v/>
      </c>
      <c r="AN231" s="1196" t="str">
        <f t="shared" si="47"/>
        <v/>
      </c>
      <c r="BA231" s="1196" t="str">
        <f t="shared" si="48"/>
        <v/>
      </c>
    </row>
    <row r="232" spans="1:53" x14ac:dyDescent="0.35">
      <c r="A232" t="str">
        <f t="shared" si="51"/>
        <v>NO</v>
      </c>
      <c r="B232" t="str">
        <f t="shared" si="51"/>
        <v>NO</v>
      </c>
      <c r="C232" t="str">
        <f t="shared" si="51"/>
        <v>NO</v>
      </c>
      <c r="D232" t="str">
        <f t="shared" si="51"/>
        <v>NO</v>
      </c>
      <c r="E232" t="str">
        <f t="shared" si="51"/>
        <v>NO</v>
      </c>
      <c r="F232" t="str">
        <f t="shared" si="51"/>
        <v/>
      </c>
      <c r="H232" s="1196" t="str">
        <f t="shared" si="44"/>
        <v/>
      </c>
      <c r="Q232" t="str">
        <f t="shared" si="52"/>
        <v>NO</v>
      </c>
      <c r="R232" t="str">
        <f t="shared" si="49"/>
        <v>NO</v>
      </c>
      <c r="S232" t="str">
        <f t="shared" si="49"/>
        <v>NO</v>
      </c>
      <c r="T232" t="str">
        <f t="shared" si="49"/>
        <v>NO</v>
      </c>
      <c r="U232" t="str">
        <f t="shared" si="49"/>
        <v>NO</v>
      </c>
      <c r="V232" t="str">
        <f t="shared" si="49"/>
        <v/>
      </c>
      <c r="W232" t="str">
        <f t="shared" si="45"/>
        <v/>
      </c>
      <c r="X232" s="1196" t="str">
        <f t="shared" si="46"/>
        <v/>
      </c>
      <c r="AG232" t="str">
        <f t="shared" si="53"/>
        <v>NO</v>
      </c>
      <c r="AH232" t="str">
        <f t="shared" si="50"/>
        <v>NO</v>
      </c>
      <c r="AI232" t="str">
        <f t="shared" si="50"/>
        <v>NO</v>
      </c>
      <c r="AJ232" t="str">
        <f t="shared" si="50"/>
        <v>NO</v>
      </c>
      <c r="AK232" t="str">
        <f t="shared" si="50"/>
        <v>NO</v>
      </c>
      <c r="AL232" t="str">
        <f t="shared" si="50"/>
        <v/>
      </c>
      <c r="AN232" s="1196" t="str">
        <f t="shared" si="47"/>
        <v/>
      </c>
      <c r="BA232" s="1196" t="str">
        <f t="shared" si="48"/>
        <v/>
      </c>
    </row>
    <row r="233" spans="1:53" x14ac:dyDescent="0.35">
      <c r="A233" t="str">
        <f t="shared" si="51"/>
        <v>NO</v>
      </c>
      <c r="B233" t="str">
        <f t="shared" si="51"/>
        <v>NO</v>
      </c>
      <c r="C233" t="str">
        <f t="shared" si="51"/>
        <v>NO</v>
      </c>
      <c r="D233" t="str">
        <f t="shared" si="51"/>
        <v>NO</v>
      </c>
      <c r="E233" t="str">
        <f t="shared" si="51"/>
        <v>NO</v>
      </c>
      <c r="F233" t="str">
        <f t="shared" si="51"/>
        <v/>
      </c>
      <c r="H233" s="1196" t="str">
        <f t="shared" si="44"/>
        <v/>
      </c>
      <c r="Q233" t="str">
        <f t="shared" si="52"/>
        <v>NO</v>
      </c>
      <c r="R233" t="str">
        <f t="shared" si="49"/>
        <v>NO</v>
      </c>
      <c r="S233" t="str">
        <f t="shared" si="49"/>
        <v>NO</v>
      </c>
      <c r="T233" t="str">
        <f t="shared" si="49"/>
        <v>NO</v>
      </c>
      <c r="U233" t="str">
        <f t="shared" si="49"/>
        <v>NO</v>
      </c>
      <c r="V233" t="str">
        <f t="shared" si="49"/>
        <v/>
      </c>
      <c r="W233" t="str">
        <f t="shared" si="45"/>
        <v/>
      </c>
      <c r="X233" s="1196" t="str">
        <f t="shared" si="46"/>
        <v/>
      </c>
      <c r="AG233" t="str">
        <f t="shared" si="53"/>
        <v>NO</v>
      </c>
      <c r="AH233" t="str">
        <f t="shared" si="50"/>
        <v>NO</v>
      </c>
      <c r="AI233" t="str">
        <f t="shared" si="50"/>
        <v>NO</v>
      </c>
      <c r="AJ233" t="str">
        <f t="shared" si="50"/>
        <v>NO</v>
      </c>
      <c r="AK233" t="str">
        <f t="shared" si="50"/>
        <v>NO</v>
      </c>
      <c r="AL233" t="str">
        <f t="shared" si="50"/>
        <v/>
      </c>
      <c r="AN233" s="1196" t="str">
        <f t="shared" si="47"/>
        <v/>
      </c>
      <c r="BA233" s="1196" t="str">
        <f t="shared" si="48"/>
        <v/>
      </c>
    </row>
    <row r="234" spans="1:53" x14ac:dyDescent="0.35">
      <c r="A234" t="str">
        <f t="shared" si="51"/>
        <v>NO</v>
      </c>
      <c r="B234" t="str">
        <f t="shared" si="51"/>
        <v>NO</v>
      </c>
      <c r="C234" t="str">
        <f t="shared" si="51"/>
        <v>NO</v>
      </c>
      <c r="D234" t="str">
        <f t="shared" si="51"/>
        <v>NO</v>
      </c>
      <c r="E234" t="str">
        <f t="shared" si="51"/>
        <v>NO</v>
      </c>
      <c r="F234" t="str">
        <f t="shared" si="51"/>
        <v/>
      </c>
      <c r="H234" s="1196" t="str">
        <f t="shared" si="44"/>
        <v/>
      </c>
      <c r="Q234" t="str">
        <f t="shared" si="52"/>
        <v>NO</v>
      </c>
      <c r="R234" t="str">
        <f t="shared" si="49"/>
        <v>NO</v>
      </c>
      <c r="S234" t="str">
        <f t="shared" si="49"/>
        <v>NO</v>
      </c>
      <c r="T234" t="str">
        <f t="shared" si="49"/>
        <v>NO</v>
      </c>
      <c r="U234" t="str">
        <f t="shared" si="49"/>
        <v>NO</v>
      </c>
      <c r="V234" t="str">
        <f t="shared" si="49"/>
        <v/>
      </c>
      <c r="W234" t="str">
        <f t="shared" si="45"/>
        <v/>
      </c>
      <c r="X234" s="1196" t="str">
        <f t="shared" si="46"/>
        <v/>
      </c>
      <c r="AG234" t="str">
        <f t="shared" si="53"/>
        <v>NO</v>
      </c>
      <c r="AH234" t="str">
        <f t="shared" si="50"/>
        <v>NO</v>
      </c>
      <c r="AI234" t="str">
        <f t="shared" si="50"/>
        <v>NO</v>
      </c>
      <c r="AJ234" t="str">
        <f t="shared" si="50"/>
        <v>NO</v>
      </c>
      <c r="AK234" t="str">
        <f t="shared" si="50"/>
        <v>NO</v>
      </c>
      <c r="AL234" t="str">
        <f t="shared" si="50"/>
        <v/>
      </c>
      <c r="AN234" s="1196" t="str">
        <f t="shared" si="47"/>
        <v/>
      </c>
      <c r="BA234" s="1196" t="str">
        <f t="shared" si="48"/>
        <v/>
      </c>
    </row>
    <row r="235" spans="1:53" x14ac:dyDescent="0.35">
      <c r="A235" t="str">
        <f t="shared" si="51"/>
        <v>NO</v>
      </c>
      <c r="B235" t="str">
        <f t="shared" si="51"/>
        <v>NO</v>
      </c>
      <c r="C235" t="str">
        <f t="shared" si="51"/>
        <v>NO</v>
      </c>
      <c r="D235" t="str">
        <f t="shared" si="51"/>
        <v>NO</v>
      </c>
      <c r="E235" t="str">
        <f t="shared" si="51"/>
        <v>NO</v>
      </c>
      <c r="F235" t="str">
        <f t="shared" si="51"/>
        <v/>
      </c>
      <c r="H235" s="1196" t="str">
        <f t="shared" si="44"/>
        <v/>
      </c>
      <c r="Q235" t="str">
        <f t="shared" si="52"/>
        <v>NO</v>
      </c>
      <c r="R235" t="str">
        <f t="shared" si="49"/>
        <v>NO</v>
      </c>
      <c r="S235" t="str">
        <f t="shared" si="49"/>
        <v>NO</v>
      </c>
      <c r="T235" t="str">
        <f t="shared" si="49"/>
        <v>NO</v>
      </c>
      <c r="U235" t="str">
        <f t="shared" si="49"/>
        <v>NO</v>
      </c>
      <c r="V235" t="str">
        <f t="shared" si="49"/>
        <v/>
      </c>
      <c r="W235" t="str">
        <f t="shared" si="45"/>
        <v/>
      </c>
      <c r="X235" s="1196" t="str">
        <f t="shared" si="46"/>
        <v/>
      </c>
      <c r="AG235" t="str">
        <f t="shared" si="53"/>
        <v>NO</v>
      </c>
      <c r="AH235" t="str">
        <f t="shared" si="50"/>
        <v>NO</v>
      </c>
      <c r="AI235" t="str">
        <f t="shared" si="50"/>
        <v>NO</v>
      </c>
      <c r="AJ235" t="str">
        <f t="shared" si="50"/>
        <v>NO</v>
      </c>
      <c r="AK235" t="str">
        <f t="shared" si="50"/>
        <v>NO</v>
      </c>
      <c r="AL235" t="str">
        <f t="shared" si="50"/>
        <v/>
      </c>
      <c r="AN235" s="1196" t="str">
        <f t="shared" si="47"/>
        <v/>
      </c>
      <c r="BA235" s="1196" t="str">
        <f t="shared" si="48"/>
        <v/>
      </c>
    </row>
    <row r="236" spans="1:53" x14ac:dyDescent="0.35">
      <c r="A236" t="str">
        <f t="shared" si="51"/>
        <v>NO</v>
      </c>
      <c r="B236" t="str">
        <f t="shared" si="51"/>
        <v>NO</v>
      </c>
      <c r="C236" t="str">
        <f t="shared" si="51"/>
        <v>NO</v>
      </c>
      <c r="D236" t="str">
        <f t="shared" si="51"/>
        <v>NO</v>
      </c>
      <c r="E236" t="str">
        <f t="shared" si="51"/>
        <v>NO</v>
      </c>
      <c r="F236" t="str">
        <f t="shared" si="51"/>
        <v/>
      </c>
      <c r="H236" s="1196" t="str">
        <f t="shared" si="44"/>
        <v/>
      </c>
      <c r="Q236" t="str">
        <f t="shared" si="52"/>
        <v>NO</v>
      </c>
      <c r="R236" t="str">
        <f t="shared" si="49"/>
        <v>NO</v>
      </c>
      <c r="S236" t="str">
        <f t="shared" si="49"/>
        <v>NO</v>
      </c>
      <c r="T236" t="str">
        <f t="shared" si="49"/>
        <v>NO</v>
      </c>
      <c r="U236" t="str">
        <f t="shared" si="49"/>
        <v>NO</v>
      </c>
      <c r="V236" t="str">
        <f t="shared" si="49"/>
        <v/>
      </c>
      <c r="W236" t="str">
        <f t="shared" si="45"/>
        <v/>
      </c>
      <c r="X236" s="1196" t="str">
        <f t="shared" si="46"/>
        <v/>
      </c>
      <c r="AG236" t="str">
        <f t="shared" si="53"/>
        <v>NO</v>
      </c>
      <c r="AH236" t="str">
        <f t="shared" si="50"/>
        <v>NO</v>
      </c>
      <c r="AI236" t="str">
        <f t="shared" si="50"/>
        <v>NO</v>
      </c>
      <c r="AJ236" t="str">
        <f t="shared" si="50"/>
        <v>NO</v>
      </c>
      <c r="AK236" t="str">
        <f t="shared" si="50"/>
        <v>NO</v>
      </c>
      <c r="AL236" t="str">
        <f t="shared" si="50"/>
        <v/>
      </c>
      <c r="AN236" s="1196" t="str">
        <f t="shared" si="47"/>
        <v/>
      </c>
      <c r="BA236" s="1196" t="str">
        <f t="shared" si="48"/>
        <v/>
      </c>
    </row>
    <row r="237" spans="1:53" x14ac:dyDescent="0.35">
      <c r="A237" t="str">
        <f t="shared" si="51"/>
        <v>NO</v>
      </c>
      <c r="B237" t="str">
        <f t="shared" si="51"/>
        <v>NO</v>
      </c>
      <c r="C237" t="str">
        <f t="shared" si="51"/>
        <v>NO</v>
      </c>
      <c r="D237" t="str">
        <f t="shared" si="51"/>
        <v>NO</v>
      </c>
      <c r="E237" t="str">
        <f t="shared" si="51"/>
        <v>NO</v>
      </c>
      <c r="F237" t="str">
        <f t="shared" si="51"/>
        <v/>
      </c>
      <c r="H237" s="1196" t="str">
        <f t="shared" si="44"/>
        <v/>
      </c>
      <c r="Q237" t="str">
        <f t="shared" si="52"/>
        <v>NO</v>
      </c>
      <c r="R237" t="str">
        <f t="shared" si="49"/>
        <v>NO</v>
      </c>
      <c r="S237" t="str">
        <f t="shared" si="49"/>
        <v>NO</v>
      </c>
      <c r="T237" t="str">
        <f t="shared" si="49"/>
        <v>NO</v>
      </c>
      <c r="U237" t="str">
        <f t="shared" si="49"/>
        <v>NO</v>
      </c>
      <c r="V237" t="str">
        <f t="shared" si="49"/>
        <v/>
      </c>
      <c r="W237" t="str">
        <f t="shared" si="45"/>
        <v/>
      </c>
      <c r="X237" s="1196" t="str">
        <f t="shared" si="46"/>
        <v/>
      </c>
      <c r="AG237" t="str">
        <f t="shared" si="53"/>
        <v>NO</v>
      </c>
      <c r="AH237" t="str">
        <f t="shared" si="50"/>
        <v>NO</v>
      </c>
      <c r="AI237" t="str">
        <f t="shared" si="50"/>
        <v>NO</v>
      </c>
      <c r="AJ237" t="str">
        <f t="shared" si="50"/>
        <v>NO</v>
      </c>
      <c r="AK237" t="str">
        <f t="shared" si="50"/>
        <v>NO</v>
      </c>
      <c r="AL237" t="str">
        <f t="shared" si="50"/>
        <v/>
      </c>
      <c r="AN237" s="1196" t="str">
        <f t="shared" si="47"/>
        <v/>
      </c>
      <c r="BA237" s="1196" t="str">
        <f t="shared" si="48"/>
        <v/>
      </c>
    </row>
    <row r="238" spans="1:53" x14ac:dyDescent="0.35">
      <c r="A238" t="str">
        <f t="shared" si="51"/>
        <v>NO</v>
      </c>
      <c r="B238" t="str">
        <f t="shared" si="51"/>
        <v>NO</v>
      </c>
      <c r="C238" t="str">
        <f t="shared" si="51"/>
        <v>NO</v>
      </c>
      <c r="D238" t="str">
        <f t="shared" si="51"/>
        <v>NO</v>
      </c>
      <c r="E238" t="str">
        <f t="shared" si="51"/>
        <v>NO</v>
      </c>
      <c r="F238" t="str">
        <f t="shared" si="51"/>
        <v/>
      </c>
      <c r="H238" s="1196" t="str">
        <f t="shared" si="44"/>
        <v/>
      </c>
      <c r="Q238" t="str">
        <f t="shared" si="52"/>
        <v>NO</v>
      </c>
      <c r="R238" t="str">
        <f t="shared" si="49"/>
        <v>NO</v>
      </c>
      <c r="S238" t="str">
        <f t="shared" si="49"/>
        <v>NO</v>
      </c>
      <c r="T238" t="str">
        <f t="shared" si="49"/>
        <v>NO</v>
      </c>
      <c r="U238" t="str">
        <f t="shared" si="49"/>
        <v>NO</v>
      </c>
      <c r="V238" t="str">
        <f t="shared" si="49"/>
        <v/>
      </c>
      <c r="W238" t="str">
        <f t="shared" si="45"/>
        <v/>
      </c>
      <c r="X238" s="1196" t="str">
        <f t="shared" si="46"/>
        <v/>
      </c>
      <c r="AG238" t="str">
        <f t="shared" si="53"/>
        <v>NO</v>
      </c>
      <c r="AH238" t="str">
        <f t="shared" si="50"/>
        <v>NO</v>
      </c>
      <c r="AI238" t="str">
        <f t="shared" si="50"/>
        <v>NO</v>
      </c>
      <c r="AJ238" t="str">
        <f t="shared" si="50"/>
        <v>NO</v>
      </c>
      <c r="AK238" t="str">
        <f t="shared" si="50"/>
        <v>NO</v>
      </c>
      <c r="AL238" t="str">
        <f t="shared" si="50"/>
        <v/>
      </c>
      <c r="AN238" s="1196" t="str">
        <f t="shared" si="47"/>
        <v/>
      </c>
      <c r="BA238" s="1196" t="str">
        <f t="shared" si="48"/>
        <v/>
      </c>
    </row>
    <row r="239" spans="1:53" x14ac:dyDescent="0.35">
      <c r="A239" t="str">
        <f t="shared" si="51"/>
        <v>NO</v>
      </c>
      <c r="B239" t="str">
        <f t="shared" si="51"/>
        <v>NO</v>
      </c>
      <c r="C239" t="str">
        <f t="shared" si="51"/>
        <v>NO</v>
      </c>
      <c r="D239" t="str">
        <f t="shared" si="51"/>
        <v>NO</v>
      </c>
      <c r="E239" t="str">
        <f t="shared" si="51"/>
        <v>NO</v>
      </c>
      <c r="F239" t="str">
        <f t="shared" si="51"/>
        <v/>
      </c>
      <c r="H239" s="1196" t="str">
        <f t="shared" si="44"/>
        <v/>
      </c>
      <c r="Q239" t="str">
        <f t="shared" si="52"/>
        <v>NO</v>
      </c>
      <c r="R239" t="str">
        <f t="shared" si="49"/>
        <v>NO</v>
      </c>
      <c r="S239" t="str">
        <f t="shared" si="49"/>
        <v>NO</v>
      </c>
      <c r="T239" t="str">
        <f t="shared" si="49"/>
        <v>NO</v>
      </c>
      <c r="U239" t="str">
        <f t="shared" si="49"/>
        <v>NO</v>
      </c>
      <c r="V239" t="str">
        <f t="shared" si="49"/>
        <v/>
      </c>
      <c r="W239" t="str">
        <f t="shared" si="45"/>
        <v/>
      </c>
      <c r="X239" s="1196" t="str">
        <f t="shared" si="46"/>
        <v/>
      </c>
      <c r="AG239" t="str">
        <f t="shared" si="53"/>
        <v>NO</v>
      </c>
      <c r="AH239" t="str">
        <f t="shared" si="50"/>
        <v>NO</v>
      </c>
      <c r="AI239" t="str">
        <f t="shared" si="50"/>
        <v>NO</v>
      </c>
      <c r="AJ239" t="str">
        <f t="shared" si="50"/>
        <v>NO</v>
      </c>
      <c r="AK239" t="str">
        <f t="shared" si="50"/>
        <v>NO</v>
      </c>
      <c r="AL239" t="str">
        <f t="shared" si="50"/>
        <v/>
      </c>
      <c r="AN239" s="1196" t="str">
        <f t="shared" si="47"/>
        <v/>
      </c>
      <c r="BA239" s="1196" t="str">
        <f t="shared" si="48"/>
        <v/>
      </c>
    </row>
    <row r="240" spans="1:53" x14ac:dyDescent="0.35">
      <c r="A240" t="str">
        <f t="shared" si="51"/>
        <v>NO</v>
      </c>
      <c r="B240" t="str">
        <f t="shared" si="51"/>
        <v>NO</v>
      </c>
      <c r="C240" t="str">
        <f t="shared" si="51"/>
        <v>NO</v>
      </c>
      <c r="D240" t="str">
        <f t="shared" si="51"/>
        <v>NO</v>
      </c>
      <c r="E240" t="str">
        <f t="shared" si="51"/>
        <v>NO</v>
      </c>
      <c r="F240" t="str">
        <f t="shared" si="51"/>
        <v/>
      </c>
      <c r="H240" s="1196" t="str">
        <f t="shared" si="44"/>
        <v/>
      </c>
      <c r="Q240" t="str">
        <f t="shared" si="52"/>
        <v>NO</v>
      </c>
      <c r="R240" t="str">
        <f t="shared" si="49"/>
        <v>NO</v>
      </c>
      <c r="S240" t="str">
        <f t="shared" si="49"/>
        <v>NO</v>
      </c>
      <c r="T240" t="str">
        <f t="shared" si="49"/>
        <v>NO</v>
      </c>
      <c r="U240" t="str">
        <f t="shared" si="49"/>
        <v>NO</v>
      </c>
      <c r="V240" t="str">
        <f t="shared" si="49"/>
        <v/>
      </c>
      <c r="W240" t="str">
        <f t="shared" si="45"/>
        <v/>
      </c>
      <c r="X240" s="1196" t="str">
        <f t="shared" si="46"/>
        <v/>
      </c>
      <c r="AG240" t="str">
        <f t="shared" si="53"/>
        <v>NO</v>
      </c>
      <c r="AH240" t="str">
        <f t="shared" si="50"/>
        <v>NO</v>
      </c>
      <c r="AI240" t="str">
        <f t="shared" si="50"/>
        <v>NO</v>
      </c>
      <c r="AJ240" t="str">
        <f t="shared" si="50"/>
        <v>NO</v>
      </c>
      <c r="AK240" t="str">
        <f t="shared" si="50"/>
        <v>NO</v>
      </c>
      <c r="AL240" t="str">
        <f t="shared" si="50"/>
        <v/>
      </c>
      <c r="AN240" s="1196" t="str">
        <f t="shared" si="47"/>
        <v/>
      </c>
      <c r="BA240" s="1196" t="str">
        <f t="shared" si="48"/>
        <v/>
      </c>
    </row>
    <row r="241" spans="1:53" x14ac:dyDescent="0.35">
      <c r="A241" t="str">
        <f t="shared" si="51"/>
        <v>NO</v>
      </c>
      <c r="B241" t="str">
        <f t="shared" si="51"/>
        <v>NO</v>
      </c>
      <c r="C241" t="str">
        <f t="shared" si="51"/>
        <v>NO</v>
      </c>
      <c r="D241" t="str">
        <f t="shared" si="51"/>
        <v>NO</v>
      </c>
      <c r="E241" t="str">
        <f t="shared" si="51"/>
        <v>NO</v>
      </c>
      <c r="F241" t="str">
        <f t="shared" si="51"/>
        <v/>
      </c>
      <c r="H241" s="1196" t="str">
        <f t="shared" si="44"/>
        <v/>
      </c>
      <c r="Q241" t="str">
        <f t="shared" si="52"/>
        <v>NO</v>
      </c>
      <c r="R241" t="str">
        <f t="shared" si="49"/>
        <v>NO</v>
      </c>
      <c r="S241" t="str">
        <f t="shared" si="49"/>
        <v>NO</v>
      </c>
      <c r="T241" t="str">
        <f t="shared" si="49"/>
        <v>NO</v>
      </c>
      <c r="U241" t="str">
        <f t="shared" si="49"/>
        <v>NO</v>
      </c>
      <c r="V241" t="str">
        <f t="shared" si="49"/>
        <v/>
      </c>
      <c r="W241" t="str">
        <f t="shared" si="45"/>
        <v/>
      </c>
      <c r="X241" s="1196" t="str">
        <f t="shared" si="46"/>
        <v/>
      </c>
      <c r="AG241" t="str">
        <f t="shared" si="53"/>
        <v>NO</v>
      </c>
      <c r="AH241" t="str">
        <f t="shared" si="50"/>
        <v>NO</v>
      </c>
      <c r="AI241" t="str">
        <f t="shared" si="50"/>
        <v>NO</v>
      </c>
      <c r="AJ241" t="str">
        <f t="shared" si="50"/>
        <v>NO</v>
      </c>
      <c r="AK241" t="str">
        <f t="shared" si="50"/>
        <v>NO</v>
      </c>
      <c r="AL241" t="str">
        <f t="shared" si="50"/>
        <v/>
      </c>
      <c r="AN241" s="1196" t="str">
        <f t="shared" si="47"/>
        <v/>
      </c>
      <c r="BA241" s="1196" t="str">
        <f t="shared" si="48"/>
        <v/>
      </c>
    </row>
    <row r="242" spans="1:53" x14ac:dyDescent="0.35">
      <c r="A242" t="str">
        <f t="shared" si="51"/>
        <v>NO</v>
      </c>
      <c r="B242" t="str">
        <f t="shared" si="51"/>
        <v>NO</v>
      </c>
      <c r="C242" t="str">
        <f t="shared" si="51"/>
        <v>NO</v>
      </c>
      <c r="D242" t="str">
        <f t="shared" si="51"/>
        <v>NO</v>
      </c>
      <c r="E242" t="str">
        <f t="shared" si="51"/>
        <v>NO</v>
      </c>
      <c r="F242" t="str">
        <f t="shared" si="51"/>
        <v/>
      </c>
      <c r="H242" s="1196" t="str">
        <f t="shared" si="44"/>
        <v/>
      </c>
      <c r="Q242" t="str">
        <f t="shared" si="52"/>
        <v>NO</v>
      </c>
      <c r="R242" t="str">
        <f t="shared" si="49"/>
        <v>NO</v>
      </c>
      <c r="S242" t="str">
        <f t="shared" si="49"/>
        <v>NO</v>
      </c>
      <c r="T242" t="str">
        <f t="shared" si="49"/>
        <v>NO</v>
      </c>
      <c r="U242" t="str">
        <f t="shared" si="49"/>
        <v>NO</v>
      </c>
      <c r="V242" t="str">
        <f t="shared" si="49"/>
        <v/>
      </c>
      <c r="W242" t="str">
        <f t="shared" si="45"/>
        <v/>
      </c>
      <c r="X242" s="1196" t="str">
        <f t="shared" si="46"/>
        <v/>
      </c>
      <c r="AG242" t="str">
        <f t="shared" si="53"/>
        <v>NO</v>
      </c>
      <c r="AH242" t="str">
        <f t="shared" si="50"/>
        <v>NO</v>
      </c>
      <c r="AI242" t="str">
        <f t="shared" si="50"/>
        <v>NO</v>
      </c>
      <c r="AJ242" t="str">
        <f t="shared" si="50"/>
        <v>NO</v>
      </c>
      <c r="AK242" t="str">
        <f t="shared" si="50"/>
        <v>NO</v>
      </c>
      <c r="AL242" t="str">
        <f t="shared" si="50"/>
        <v/>
      </c>
      <c r="AN242" s="1196" t="str">
        <f t="shared" si="47"/>
        <v/>
      </c>
      <c r="BA242" s="1196" t="str">
        <f t="shared" si="48"/>
        <v/>
      </c>
    </row>
    <row r="243" spans="1:53" x14ac:dyDescent="0.35">
      <c r="A243" t="str">
        <f t="shared" si="51"/>
        <v>NO</v>
      </c>
      <c r="B243" t="str">
        <f t="shared" si="51"/>
        <v>NO</v>
      </c>
      <c r="C243" t="str">
        <f t="shared" si="51"/>
        <v>NO</v>
      </c>
      <c r="D243" t="str">
        <f t="shared" si="51"/>
        <v>NO</v>
      </c>
      <c r="E243" t="str">
        <f t="shared" si="51"/>
        <v>NO</v>
      </c>
      <c r="F243" t="str">
        <f t="shared" si="51"/>
        <v/>
      </c>
      <c r="H243" s="1196" t="str">
        <f t="shared" si="44"/>
        <v/>
      </c>
      <c r="Q243" t="str">
        <f t="shared" si="52"/>
        <v>NO</v>
      </c>
      <c r="R243" t="str">
        <f t="shared" si="49"/>
        <v>NO</v>
      </c>
      <c r="S243" t="str">
        <f t="shared" si="49"/>
        <v>NO</v>
      </c>
      <c r="T243" t="str">
        <f t="shared" si="49"/>
        <v>NO</v>
      </c>
      <c r="U243" t="str">
        <f t="shared" si="49"/>
        <v>NO</v>
      </c>
      <c r="V243" t="str">
        <f t="shared" si="49"/>
        <v/>
      </c>
      <c r="W243" t="str">
        <f t="shared" si="45"/>
        <v/>
      </c>
      <c r="X243" s="1196" t="str">
        <f t="shared" si="46"/>
        <v/>
      </c>
      <c r="AG243" t="str">
        <f t="shared" si="53"/>
        <v>NO</v>
      </c>
      <c r="AH243" t="str">
        <f t="shared" si="50"/>
        <v>NO</v>
      </c>
      <c r="AI243" t="str">
        <f t="shared" si="50"/>
        <v>NO</v>
      </c>
      <c r="AJ243" t="str">
        <f t="shared" si="50"/>
        <v>NO</v>
      </c>
      <c r="AK243" t="str">
        <f t="shared" si="50"/>
        <v>NO</v>
      </c>
      <c r="AL243" t="str">
        <f t="shared" si="50"/>
        <v/>
      </c>
      <c r="AN243" s="1196" t="str">
        <f t="shared" si="47"/>
        <v/>
      </c>
      <c r="BA243" s="1196" t="str">
        <f t="shared" si="48"/>
        <v/>
      </c>
    </row>
    <row r="244" spans="1:53" x14ac:dyDescent="0.35">
      <c r="A244" t="str">
        <f t="shared" si="51"/>
        <v>NO</v>
      </c>
      <c r="B244" t="str">
        <f t="shared" si="51"/>
        <v>NO</v>
      </c>
      <c r="C244" t="str">
        <f t="shared" si="51"/>
        <v>NO</v>
      </c>
      <c r="D244" t="str">
        <f t="shared" si="51"/>
        <v>NO</v>
      </c>
      <c r="E244" t="str">
        <f t="shared" si="51"/>
        <v>NO</v>
      </c>
      <c r="F244" t="str">
        <f t="shared" si="51"/>
        <v/>
      </c>
      <c r="H244" s="1196" t="str">
        <f t="shared" si="44"/>
        <v/>
      </c>
      <c r="Q244" t="str">
        <f t="shared" si="52"/>
        <v>NO</v>
      </c>
      <c r="R244" t="str">
        <f t="shared" si="49"/>
        <v>NO</v>
      </c>
      <c r="S244" t="str">
        <f t="shared" si="49"/>
        <v>NO</v>
      </c>
      <c r="T244" t="str">
        <f t="shared" si="49"/>
        <v>NO</v>
      </c>
      <c r="U244" t="str">
        <f t="shared" si="49"/>
        <v>NO</v>
      </c>
      <c r="V244" t="str">
        <f t="shared" si="49"/>
        <v/>
      </c>
      <c r="W244" t="str">
        <f t="shared" si="45"/>
        <v/>
      </c>
      <c r="X244" s="1196" t="str">
        <f t="shared" si="46"/>
        <v/>
      </c>
      <c r="AG244" t="str">
        <f t="shared" si="53"/>
        <v>NO</v>
      </c>
      <c r="AH244" t="str">
        <f t="shared" si="50"/>
        <v>NO</v>
      </c>
      <c r="AI244" t="str">
        <f t="shared" si="50"/>
        <v>NO</v>
      </c>
      <c r="AJ244" t="str">
        <f t="shared" si="50"/>
        <v>NO</v>
      </c>
      <c r="AK244" t="str">
        <f t="shared" si="50"/>
        <v>NO</v>
      </c>
      <c r="AL244" t="str">
        <f t="shared" si="50"/>
        <v/>
      </c>
      <c r="AN244" s="1196" t="str">
        <f t="shared" si="47"/>
        <v/>
      </c>
      <c r="BA244" s="1196" t="str">
        <f t="shared" si="48"/>
        <v/>
      </c>
    </row>
    <row r="245" spans="1:53" x14ac:dyDescent="0.35">
      <c r="A245" t="str">
        <f t="shared" si="51"/>
        <v>NO</v>
      </c>
      <c r="B245" t="str">
        <f t="shared" si="51"/>
        <v>NO</v>
      </c>
      <c r="C245" t="str">
        <f t="shared" si="51"/>
        <v>NO</v>
      </c>
      <c r="D245" t="str">
        <f t="shared" si="51"/>
        <v>NO</v>
      </c>
      <c r="E245" t="str">
        <f t="shared" si="51"/>
        <v>NO</v>
      </c>
      <c r="F245" t="str">
        <f t="shared" si="51"/>
        <v/>
      </c>
      <c r="H245" s="1196" t="str">
        <f t="shared" si="44"/>
        <v/>
      </c>
      <c r="Q245" t="str">
        <f t="shared" si="52"/>
        <v>NO</v>
      </c>
      <c r="R245" t="str">
        <f t="shared" si="49"/>
        <v>NO</v>
      </c>
      <c r="S245" t="str">
        <f t="shared" si="49"/>
        <v>NO</v>
      </c>
      <c r="T245" t="str">
        <f t="shared" si="49"/>
        <v>NO</v>
      </c>
      <c r="U245" t="str">
        <f t="shared" si="49"/>
        <v>NO</v>
      </c>
      <c r="V245" t="str">
        <f t="shared" si="49"/>
        <v/>
      </c>
      <c r="W245" t="str">
        <f t="shared" si="45"/>
        <v/>
      </c>
      <c r="X245" s="1196" t="str">
        <f t="shared" si="46"/>
        <v/>
      </c>
      <c r="AG245" t="str">
        <f t="shared" si="53"/>
        <v>NO</v>
      </c>
      <c r="AH245" t="str">
        <f t="shared" si="50"/>
        <v>NO</v>
      </c>
      <c r="AI245" t="str">
        <f t="shared" si="50"/>
        <v>NO</v>
      </c>
      <c r="AJ245" t="str">
        <f t="shared" si="50"/>
        <v>NO</v>
      </c>
      <c r="AK245" t="str">
        <f t="shared" si="50"/>
        <v>NO</v>
      </c>
      <c r="AL245" t="str">
        <f t="shared" si="50"/>
        <v/>
      </c>
      <c r="AN245" s="1196" t="str">
        <f t="shared" si="47"/>
        <v/>
      </c>
      <c r="BA245" s="1196" t="str">
        <f t="shared" si="48"/>
        <v/>
      </c>
    </row>
    <row r="246" spans="1:53" x14ac:dyDescent="0.35">
      <c r="A246" t="str">
        <f t="shared" si="51"/>
        <v>NO</v>
      </c>
      <c r="B246" t="str">
        <f t="shared" si="51"/>
        <v>NO</v>
      </c>
      <c r="C246" t="str">
        <f t="shared" si="51"/>
        <v>NO</v>
      </c>
      <c r="D246" t="str">
        <f t="shared" si="51"/>
        <v>NO</v>
      </c>
      <c r="E246" t="str">
        <f t="shared" si="51"/>
        <v>NO</v>
      </c>
      <c r="F246" t="str">
        <f t="shared" si="51"/>
        <v/>
      </c>
      <c r="H246" s="1196" t="str">
        <f t="shared" si="44"/>
        <v/>
      </c>
      <c r="Q246" t="str">
        <f t="shared" si="52"/>
        <v>NO</v>
      </c>
      <c r="R246" t="str">
        <f t="shared" si="49"/>
        <v>NO</v>
      </c>
      <c r="S246" t="str">
        <f t="shared" si="49"/>
        <v>NO</v>
      </c>
      <c r="T246" t="str">
        <f t="shared" si="49"/>
        <v>NO</v>
      </c>
      <c r="U246" t="str">
        <f t="shared" si="49"/>
        <v>NO</v>
      </c>
      <c r="V246" t="str">
        <f t="shared" si="49"/>
        <v/>
      </c>
      <c r="W246" t="str">
        <f t="shared" si="45"/>
        <v/>
      </c>
      <c r="X246" s="1196" t="str">
        <f t="shared" si="46"/>
        <v/>
      </c>
      <c r="AG246" t="str">
        <f t="shared" si="53"/>
        <v>NO</v>
      </c>
      <c r="AH246" t="str">
        <f t="shared" si="50"/>
        <v>NO</v>
      </c>
      <c r="AI246" t="str">
        <f t="shared" si="50"/>
        <v>NO</v>
      </c>
      <c r="AJ246" t="str">
        <f t="shared" si="50"/>
        <v>NO</v>
      </c>
      <c r="AK246" t="str">
        <f t="shared" si="50"/>
        <v>NO</v>
      </c>
      <c r="AL246" t="str">
        <f t="shared" si="50"/>
        <v/>
      </c>
      <c r="AN246" s="1196" t="str">
        <f t="shared" si="47"/>
        <v/>
      </c>
      <c r="BA246" s="1196" t="str">
        <f t="shared" si="48"/>
        <v/>
      </c>
    </row>
    <row r="247" spans="1:53" x14ac:dyDescent="0.35">
      <c r="A247" t="str">
        <f t="shared" si="51"/>
        <v>NO</v>
      </c>
      <c r="B247" t="str">
        <f t="shared" si="51"/>
        <v>NO</v>
      </c>
      <c r="C247" t="str">
        <f t="shared" si="51"/>
        <v>NO</v>
      </c>
      <c r="D247" t="str">
        <f t="shared" si="51"/>
        <v>NO</v>
      </c>
      <c r="E247" t="str">
        <f t="shared" si="51"/>
        <v>NO</v>
      </c>
      <c r="F247" t="str">
        <f t="shared" si="51"/>
        <v/>
      </c>
      <c r="H247" s="1196" t="str">
        <f t="shared" si="44"/>
        <v/>
      </c>
      <c r="Q247" t="str">
        <f t="shared" si="52"/>
        <v>NO</v>
      </c>
      <c r="R247" t="str">
        <f t="shared" si="49"/>
        <v>NO</v>
      </c>
      <c r="S247" t="str">
        <f t="shared" si="49"/>
        <v>NO</v>
      </c>
      <c r="T247" t="str">
        <f t="shared" si="49"/>
        <v>NO</v>
      </c>
      <c r="U247" t="str">
        <f t="shared" si="49"/>
        <v>NO</v>
      </c>
      <c r="V247" t="str">
        <f t="shared" si="49"/>
        <v/>
      </c>
      <c r="W247" t="str">
        <f t="shared" si="45"/>
        <v/>
      </c>
      <c r="X247" s="1196" t="str">
        <f t="shared" si="46"/>
        <v/>
      </c>
      <c r="AG247" t="str">
        <f t="shared" si="53"/>
        <v>NO</v>
      </c>
      <c r="AH247" t="str">
        <f t="shared" si="50"/>
        <v>NO</v>
      </c>
      <c r="AI247" t="str">
        <f t="shared" si="50"/>
        <v>NO</v>
      </c>
      <c r="AJ247" t="str">
        <f t="shared" si="50"/>
        <v>NO</v>
      </c>
      <c r="AK247" t="str">
        <f t="shared" si="50"/>
        <v>NO</v>
      </c>
      <c r="AL247" t="str">
        <f t="shared" si="50"/>
        <v/>
      </c>
      <c r="AN247" s="1196" t="str">
        <f t="shared" si="47"/>
        <v/>
      </c>
      <c r="BA247" s="1196" t="str">
        <f t="shared" si="48"/>
        <v/>
      </c>
    </row>
    <row r="248" spans="1:53" x14ac:dyDescent="0.35">
      <c r="A248" t="str">
        <f t="shared" si="51"/>
        <v>NO</v>
      </c>
      <c r="B248" t="str">
        <f t="shared" si="51"/>
        <v>NO</v>
      </c>
      <c r="C248" t="str">
        <f t="shared" si="51"/>
        <v>NO</v>
      </c>
      <c r="D248" t="str">
        <f t="shared" si="51"/>
        <v>NO</v>
      </c>
      <c r="E248" t="str">
        <f t="shared" si="51"/>
        <v>NO</v>
      </c>
      <c r="F248" t="str">
        <f t="shared" si="51"/>
        <v/>
      </c>
      <c r="H248" s="1196" t="str">
        <f t="shared" si="44"/>
        <v/>
      </c>
      <c r="Q248" t="str">
        <f t="shared" si="52"/>
        <v>NO</v>
      </c>
      <c r="R248" t="str">
        <f t="shared" si="49"/>
        <v>NO</v>
      </c>
      <c r="S248" t="str">
        <f t="shared" si="49"/>
        <v>NO</v>
      </c>
      <c r="T248" t="str">
        <f t="shared" si="49"/>
        <v>NO</v>
      </c>
      <c r="U248" t="str">
        <f t="shared" si="49"/>
        <v>NO</v>
      </c>
      <c r="V248" t="str">
        <f t="shared" si="49"/>
        <v/>
      </c>
      <c r="W248" t="str">
        <f t="shared" si="45"/>
        <v/>
      </c>
      <c r="X248" s="1196" t="str">
        <f t="shared" si="46"/>
        <v/>
      </c>
      <c r="AG248" t="str">
        <f t="shared" si="53"/>
        <v>NO</v>
      </c>
      <c r="AH248" t="str">
        <f t="shared" si="50"/>
        <v>NO</v>
      </c>
      <c r="AI248" t="str">
        <f t="shared" si="50"/>
        <v>NO</v>
      </c>
      <c r="AJ248" t="str">
        <f t="shared" si="50"/>
        <v>NO</v>
      </c>
      <c r="AK248" t="str">
        <f t="shared" si="50"/>
        <v>NO</v>
      </c>
      <c r="AL248" t="str">
        <f t="shared" si="50"/>
        <v/>
      </c>
      <c r="AN248" s="1196" t="str">
        <f t="shared" si="47"/>
        <v/>
      </c>
      <c r="BA248" s="1196" t="str">
        <f t="shared" si="48"/>
        <v/>
      </c>
    </row>
    <row r="249" spans="1:53" x14ac:dyDescent="0.35">
      <c r="A249" t="str">
        <f t="shared" ref="A249:F280" si="54">IFERROR(IF($K249=A$2,_xlfn.CONCAT($I249,$J249),"NO"),0)</f>
        <v>NO</v>
      </c>
      <c r="B249" t="str">
        <f t="shared" si="54"/>
        <v>NO</v>
      </c>
      <c r="C249" t="str">
        <f t="shared" si="54"/>
        <v>NO</v>
      </c>
      <c r="D249" t="str">
        <f t="shared" si="54"/>
        <v>NO</v>
      </c>
      <c r="E249" t="str">
        <f t="shared" si="54"/>
        <v>NO</v>
      </c>
      <c r="F249" t="str">
        <f t="shared" si="54"/>
        <v/>
      </c>
      <c r="H249" s="1196" t="str">
        <f t="shared" si="44"/>
        <v/>
      </c>
      <c r="Q249" t="str">
        <f t="shared" si="52"/>
        <v>NO</v>
      </c>
      <c r="R249" t="str">
        <f t="shared" si="49"/>
        <v>NO</v>
      </c>
      <c r="S249" t="str">
        <f t="shared" si="49"/>
        <v>NO</v>
      </c>
      <c r="T249" t="str">
        <f t="shared" si="49"/>
        <v>NO</v>
      </c>
      <c r="U249" t="str">
        <f t="shared" si="49"/>
        <v>NO</v>
      </c>
      <c r="V249" t="str">
        <f t="shared" si="49"/>
        <v/>
      </c>
      <c r="W249" t="str">
        <f t="shared" si="45"/>
        <v/>
      </c>
      <c r="X249" s="1196" t="str">
        <f t="shared" si="46"/>
        <v/>
      </c>
      <c r="AG249" t="str">
        <f t="shared" si="53"/>
        <v>NO</v>
      </c>
      <c r="AH249" t="str">
        <f t="shared" si="50"/>
        <v>NO</v>
      </c>
      <c r="AI249" t="str">
        <f t="shared" si="50"/>
        <v>NO</v>
      </c>
      <c r="AJ249" t="str">
        <f t="shared" si="50"/>
        <v>NO</v>
      </c>
      <c r="AK249" t="str">
        <f t="shared" si="50"/>
        <v>NO</v>
      </c>
      <c r="AL249" t="str">
        <f t="shared" si="50"/>
        <v/>
      </c>
      <c r="AN249" s="1196" t="str">
        <f t="shared" si="47"/>
        <v/>
      </c>
      <c r="BA249" s="1196" t="str">
        <f t="shared" si="48"/>
        <v/>
      </c>
    </row>
    <row r="250" spans="1:53" x14ac:dyDescent="0.35">
      <c r="A250" t="str">
        <f t="shared" si="54"/>
        <v>NO</v>
      </c>
      <c r="B250" t="str">
        <f t="shared" si="54"/>
        <v>NO</v>
      </c>
      <c r="C250" t="str">
        <f t="shared" si="54"/>
        <v>NO</v>
      </c>
      <c r="D250" t="str">
        <f t="shared" si="54"/>
        <v>NO</v>
      </c>
      <c r="E250" t="str">
        <f t="shared" si="54"/>
        <v>NO</v>
      </c>
      <c r="F250" t="str">
        <f t="shared" si="54"/>
        <v/>
      </c>
      <c r="H250" s="1196" t="str">
        <f t="shared" si="44"/>
        <v/>
      </c>
      <c r="Q250" t="str">
        <f t="shared" si="52"/>
        <v>NO</v>
      </c>
      <c r="R250" t="str">
        <f t="shared" si="49"/>
        <v>NO</v>
      </c>
      <c r="S250" t="str">
        <f t="shared" si="49"/>
        <v>NO</v>
      </c>
      <c r="T250" t="str">
        <f t="shared" si="49"/>
        <v>NO</v>
      </c>
      <c r="U250" t="str">
        <f t="shared" si="49"/>
        <v>NO</v>
      </c>
      <c r="V250" t="str">
        <f t="shared" si="49"/>
        <v/>
      </c>
      <c r="W250" t="str">
        <f t="shared" si="45"/>
        <v/>
      </c>
      <c r="X250" s="1196" t="str">
        <f t="shared" si="46"/>
        <v/>
      </c>
      <c r="AG250" t="str">
        <f t="shared" si="53"/>
        <v>NO</v>
      </c>
      <c r="AH250" t="str">
        <f t="shared" si="50"/>
        <v>NO</v>
      </c>
      <c r="AI250" t="str">
        <f t="shared" si="50"/>
        <v>NO</v>
      </c>
      <c r="AJ250" t="str">
        <f t="shared" si="50"/>
        <v>NO</v>
      </c>
      <c r="AK250" t="str">
        <f t="shared" si="50"/>
        <v>NO</v>
      </c>
      <c r="AL250" t="str">
        <f t="shared" si="50"/>
        <v/>
      </c>
      <c r="AN250" s="1196" t="str">
        <f t="shared" si="47"/>
        <v/>
      </c>
      <c r="BA250" s="1196" t="str">
        <f t="shared" si="48"/>
        <v/>
      </c>
    </row>
    <row r="251" spans="1:53" x14ac:dyDescent="0.35">
      <c r="A251" t="str">
        <f t="shared" si="54"/>
        <v>NO</v>
      </c>
      <c r="B251" t="str">
        <f t="shared" si="54"/>
        <v>NO</v>
      </c>
      <c r="C251" t="str">
        <f t="shared" si="54"/>
        <v>NO</v>
      </c>
      <c r="D251" t="str">
        <f t="shared" si="54"/>
        <v>NO</v>
      </c>
      <c r="E251" t="str">
        <f t="shared" si="54"/>
        <v>NO</v>
      </c>
      <c r="F251" t="str">
        <f t="shared" si="54"/>
        <v/>
      </c>
      <c r="H251" s="1196" t="str">
        <f t="shared" si="44"/>
        <v/>
      </c>
      <c r="Q251" t="str">
        <f t="shared" si="52"/>
        <v>NO</v>
      </c>
      <c r="R251" t="str">
        <f t="shared" si="49"/>
        <v>NO</v>
      </c>
      <c r="S251" t="str">
        <f t="shared" si="49"/>
        <v>NO</v>
      </c>
      <c r="T251" t="str">
        <f t="shared" si="49"/>
        <v>NO</v>
      </c>
      <c r="U251" t="str">
        <f t="shared" si="49"/>
        <v>NO</v>
      </c>
      <c r="V251" t="str">
        <f t="shared" si="49"/>
        <v/>
      </c>
      <c r="W251" t="str">
        <f t="shared" si="45"/>
        <v/>
      </c>
      <c r="X251" s="1196" t="str">
        <f t="shared" si="46"/>
        <v/>
      </c>
      <c r="AG251" t="str">
        <f t="shared" si="53"/>
        <v>NO</v>
      </c>
      <c r="AH251" t="str">
        <f t="shared" si="50"/>
        <v>NO</v>
      </c>
      <c r="AI251" t="str">
        <f t="shared" si="50"/>
        <v>NO</v>
      </c>
      <c r="AJ251" t="str">
        <f t="shared" si="50"/>
        <v>NO</v>
      </c>
      <c r="AK251" t="str">
        <f t="shared" si="50"/>
        <v>NO</v>
      </c>
      <c r="AL251" t="str">
        <f t="shared" si="50"/>
        <v/>
      </c>
      <c r="AN251" s="1196" t="str">
        <f t="shared" si="47"/>
        <v/>
      </c>
      <c r="BA251" s="1196" t="str">
        <f t="shared" si="48"/>
        <v/>
      </c>
    </row>
    <row r="252" spans="1:53" x14ac:dyDescent="0.35">
      <c r="A252" t="str">
        <f t="shared" si="54"/>
        <v>NO</v>
      </c>
      <c r="B252" t="str">
        <f t="shared" si="54"/>
        <v>NO</v>
      </c>
      <c r="C252" t="str">
        <f t="shared" si="54"/>
        <v>NO</v>
      </c>
      <c r="D252" t="str">
        <f t="shared" si="54"/>
        <v>NO</v>
      </c>
      <c r="E252" t="str">
        <f t="shared" si="54"/>
        <v>NO</v>
      </c>
      <c r="F252" t="str">
        <f t="shared" si="54"/>
        <v/>
      </c>
      <c r="H252" s="1196" t="str">
        <f t="shared" si="44"/>
        <v/>
      </c>
      <c r="Q252" t="str">
        <f t="shared" si="52"/>
        <v>NO</v>
      </c>
      <c r="R252" t="str">
        <f t="shared" si="49"/>
        <v>NO</v>
      </c>
      <c r="S252" t="str">
        <f t="shared" si="49"/>
        <v>NO</v>
      </c>
      <c r="T252" t="str">
        <f t="shared" si="49"/>
        <v>NO</v>
      </c>
      <c r="U252" t="str">
        <f t="shared" si="49"/>
        <v>NO</v>
      </c>
      <c r="V252" t="str">
        <f t="shared" si="49"/>
        <v/>
      </c>
      <c r="W252" t="str">
        <f t="shared" si="45"/>
        <v/>
      </c>
      <c r="X252" s="1196" t="str">
        <f t="shared" si="46"/>
        <v/>
      </c>
      <c r="AG252" t="str">
        <f t="shared" si="53"/>
        <v>NO</v>
      </c>
      <c r="AH252" t="str">
        <f t="shared" si="50"/>
        <v>NO</v>
      </c>
      <c r="AI252" t="str">
        <f t="shared" si="50"/>
        <v>NO</v>
      </c>
      <c r="AJ252" t="str">
        <f t="shared" si="50"/>
        <v>NO</v>
      </c>
      <c r="AK252" t="str">
        <f t="shared" si="50"/>
        <v>NO</v>
      </c>
      <c r="AL252" t="str">
        <f t="shared" si="50"/>
        <v/>
      </c>
      <c r="AN252" s="1196" t="str">
        <f t="shared" si="47"/>
        <v/>
      </c>
      <c r="BA252" s="1196" t="str">
        <f t="shared" si="48"/>
        <v/>
      </c>
    </row>
    <row r="253" spans="1:53" x14ac:dyDescent="0.35">
      <c r="A253" t="str">
        <f t="shared" si="54"/>
        <v>NO</v>
      </c>
      <c r="B253" t="str">
        <f t="shared" si="54"/>
        <v>NO</v>
      </c>
      <c r="C253" t="str">
        <f t="shared" si="54"/>
        <v>NO</v>
      </c>
      <c r="D253" t="str">
        <f t="shared" si="54"/>
        <v>NO</v>
      </c>
      <c r="E253" t="str">
        <f t="shared" si="54"/>
        <v>NO</v>
      </c>
      <c r="F253" t="str">
        <f t="shared" si="54"/>
        <v/>
      </c>
      <c r="H253" s="1196" t="str">
        <f t="shared" si="44"/>
        <v/>
      </c>
      <c r="Q253" t="str">
        <f t="shared" si="52"/>
        <v>NO</v>
      </c>
      <c r="R253" t="str">
        <f t="shared" si="49"/>
        <v>NO</v>
      </c>
      <c r="S253" t="str">
        <f t="shared" si="49"/>
        <v>NO</v>
      </c>
      <c r="T253" t="str">
        <f t="shared" si="49"/>
        <v>NO</v>
      </c>
      <c r="U253" t="str">
        <f t="shared" si="49"/>
        <v>NO</v>
      </c>
      <c r="V253" t="str">
        <f t="shared" si="49"/>
        <v/>
      </c>
      <c r="W253" t="str">
        <f t="shared" si="45"/>
        <v/>
      </c>
      <c r="X253" s="1196" t="str">
        <f t="shared" si="46"/>
        <v/>
      </c>
      <c r="AG253" t="str">
        <f t="shared" si="53"/>
        <v>NO</v>
      </c>
      <c r="AH253" t="str">
        <f t="shared" si="50"/>
        <v>NO</v>
      </c>
      <c r="AI253" t="str">
        <f t="shared" si="50"/>
        <v>NO</v>
      </c>
      <c r="AJ253" t="str">
        <f t="shared" si="50"/>
        <v>NO</v>
      </c>
      <c r="AK253" t="str">
        <f t="shared" si="50"/>
        <v>NO</v>
      </c>
      <c r="AL253" t="str">
        <f t="shared" si="50"/>
        <v/>
      </c>
      <c r="AN253" s="1196" t="str">
        <f t="shared" si="47"/>
        <v/>
      </c>
      <c r="BA253" s="1196" t="str">
        <f t="shared" si="48"/>
        <v/>
      </c>
    </row>
    <row r="254" spans="1:53" x14ac:dyDescent="0.35">
      <c r="A254" t="str">
        <f t="shared" si="54"/>
        <v>NO</v>
      </c>
      <c r="B254" t="str">
        <f t="shared" si="54"/>
        <v>NO</v>
      </c>
      <c r="C254" t="str">
        <f t="shared" si="54"/>
        <v>NO</v>
      </c>
      <c r="D254" t="str">
        <f t="shared" si="54"/>
        <v>NO</v>
      </c>
      <c r="E254" t="str">
        <f t="shared" si="54"/>
        <v>NO</v>
      </c>
      <c r="F254" t="str">
        <f t="shared" si="54"/>
        <v/>
      </c>
      <c r="H254" s="1196" t="str">
        <f t="shared" si="44"/>
        <v/>
      </c>
      <c r="Q254" t="str">
        <f t="shared" si="52"/>
        <v>NO</v>
      </c>
      <c r="R254" t="str">
        <f t="shared" si="49"/>
        <v>NO</v>
      </c>
      <c r="S254" t="str">
        <f t="shared" si="49"/>
        <v>NO</v>
      </c>
      <c r="T254" t="str">
        <f t="shared" ref="R254:V280" si="55">IFERROR(IF($AA254=T$2,_xlfn.CONCAT($Y254,$Z254),"NO"),0)</f>
        <v>NO</v>
      </c>
      <c r="U254" t="str">
        <f t="shared" si="55"/>
        <v>NO</v>
      </c>
      <c r="V254" t="str">
        <f t="shared" si="55"/>
        <v/>
      </c>
      <c r="W254" t="str">
        <f t="shared" si="45"/>
        <v/>
      </c>
      <c r="X254" s="1196" t="str">
        <f t="shared" si="46"/>
        <v/>
      </c>
      <c r="AG254" t="str">
        <f t="shared" si="53"/>
        <v>NO</v>
      </c>
      <c r="AH254" t="str">
        <f t="shared" si="50"/>
        <v>NO</v>
      </c>
      <c r="AI254" t="str">
        <f t="shared" si="50"/>
        <v>NO</v>
      </c>
      <c r="AJ254" t="str">
        <f t="shared" ref="AH254:AL280" si="56">IFERROR(IF($AQ254=AJ$2,_xlfn.CONCAT($AO254,$AP254),"NO"),0)</f>
        <v>NO</v>
      </c>
      <c r="AK254" t="str">
        <f t="shared" si="56"/>
        <v>NO</v>
      </c>
      <c r="AL254" t="str">
        <f t="shared" si="56"/>
        <v/>
      </c>
      <c r="AN254" s="1196" t="str">
        <f t="shared" si="47"/>
        <v/>
      </c>
      <c r="BA254" s="1196" t="str">
        <f t="shared" si="48"/>
        <v/>
      </c>
    </row>
    <row r="255" spans="1:53" x14ac:dyDescent="0.35">
      <c r="A255" t="str">
        <f t="shared" si="54"/>
        <v>NO</v>
      </c>
      <c r="B255" t="str">
        <f t="shared" si="54"/>
        <v>NO</v>
      </c>
      <c r="C255" t="str">
        <f t="shared" si="54"/>
        <v>NO</v>
      </c>
      <c r="D255" t="str">
        <f t="shared" si="54"/>
        <v>NO</v>
      </c>
      <c r="E255" t="str">
        <f t="shared" si="54"/>
        <v>NO</v>
      </c>
      <c r="F255" t="str">
        <f t="shared" si="54"/>
        <v/>
      </c>
      <c r="H255" s="1196" t="str">
        <f t="shared" si="44"/>
        <v/>
      </c>
      <c r="Q255" t="str">
        <f t="shared" si="52"/>
        <v>NO</v>
      </c>
      <c r="R255" t="str">
        <f t="shared" si="55"/>
        <v>NO</v>
      </c>
      <c r="S255" t="str">
        <f t="shared" si="55"/>
        <v>NO</v>
      </c>
      <c r="T255" t="str">
        <f t="shared" si="55"/>
        <v>NO</v>
      </c>
      <c r="U255" t="str">
        <f t="shared" si="55"/>
        <v>NO</v>
      </c>
      <c r="V255" t="str">
        <f t="shared" si="55"/>
        <v/>
      </c>
      <c r="W255" t="str">
        <f t="shared" si="45"/>
        <v/>
      </c>
      <c r="X255" s="1196" t="str">
        <f t="shared" si="46"/>
        <v/>
      </c>
      <c r="AG255" t="str">
        <f t="shared" si="53"/>
        <v>NO</v>
      </c>
      <c r="AH255" t="str">
        <f t="shared" si="56"/>
        <v>NO</v>
      </c>
      <c r="AI255" t="str">
        <f t="shared" si="56"/>
        <v>NO</v>
      </c>
      <c r="AJ255" t="str">
        <f t="shared" si="56"/>
        <v>NO</v>
      </c>
      <c r="AK255" t="str">
        <f t="shared" si="56"/>
        <v>NO</v>
      </c>
      <c r="AL255" t="str">
        <f t="shared" si="56"/>
        <v/>
      </c>
      <c r="AN255" s="1196" t="str">
        <f t="shared" si="47"/>
        <v/>
      </c>
      <c r="BA255" s="1196" t="str">
        <f t="shared" si="48"/>
        <v/>
      </c>
    </row>
    <row r="256" spans="1:53" x14ac:dyDescent="0.35">
      <c r="A256" t="str">
        <f t="shared" si="54"/>
        <v>NO</v>
      </c>
      <c r="B256" t="str">
        <f t="shared" si="54"/>
        <v>NO</v>
      </c>
      <c r="C256" t="str">
        <f t="shared" si="54"/>
        <v>NO</v>
      </c>
      <c r="D256" t="str">
        <f t="shared" si="54"/>
        <v>NO</v>
      </c>
      <c r="E256" t="str">
        <f t="shared" si="54"/>
        <v>NO</v>
      </c>
      <c r="F256" t="str">
        <f t="shared" si="54"/>
        <v/>
      </c>
      <c r="H256" s="1196" t="str">
        <f t="shared" si="44"/>
        <v/>
      </c>
      <c r="Q256" t="str">
        <f t="shared" si="52"/>
        <v>NO</v>
      </c>
      <c r="R256" t="str">
        <f t="shared" si="55"/>
        <v>NO</v>
      </c>
      <c r="S256" t="str">
        <f t="shared" si="55"/>
        <v>NO</v>
      </c>
      <c r="T256" t="str">
        <f t="shared" si="55"/>
        <v>NO</v>
      </c>
      <c r="U256" t="str">
        <f t="shared" si="55"/>
        <v>NO</v>
      </c>
      <c r="V256" t="str">
        <f t="shared" si="55"/>
        <v/>
      </c>
      <c r="W256" t="str">
        <f t="shared" si="45"/>
        <v/>
      </c>
      <c r="X256" s="1196" t="str">
        <f t="shared" si="46"/>
        <v/>
      </c>
      <c r="AG256" t="str">
        <f t="shared" si="53"/>
        <v>NO</v>
      </c>
      <c r="AH256" t="str">
        <f t="shared" si="56"/>
        <v>NO</v>
      </c>
      <c r="AI256" t="str">
        <f t="shared" si="56"/>
        <v>NO</v>
      </c>
      <c r="AJ256" t="str">
        <f t="shared" si="56"/>
        <v>NO</v>
      </c>
      <c r="AK256" t="str">
        <f t="shared" si="56"/>
        <v>NO</v>
      </c>
      <c r="AL256" t="str">
        <f t="shared" si="56"/>
        <v/>
      </c>
      <c r="AN256" s="1196" t="str">
        <f t="shared" si="47"/>
        <v/>
      </c>
      <c r="BA256" s="1196" t="str">
        <f t="shared" si="48"/>
        <v/>
      </c>
    </row>
    <row r="257" spans="1:53" x14ac:dyDescent="0.35">
      <c r="A257" t="str">
        <f t="shared" si="54"/>
        <v>NO</v>
      </c>
      <c r="B257" t="str">
        <f t="shared" si="54"/>
        <v>NO</v>
      </c>
      <c r="C257" t="str">
        <f t="shared" si="54"/>
        <v>NO</v>
      </c>
      <c r="D257" t="str">
        <f t="shared" si="54"/>
        <v>NO</v>
      </c>
      <c r="E257" t="str">
        <f t="shared" si="54"/>
        <v>NO</v>
      </c>
      <c r="F257" t="str">
        <f t="shared" si="54"/>
        <v/>
      </c>
      <c r="H257" s="1196" t="str">
        <f t="shared" si="44"/>
        <v/>
      </c>
      <c r="Q257" t="str">
        <f t="shared" si="52"/>
        <v>NO</v>
      </c>
      <c r="R257" t="str">
        <f t="shared" si="55"/>
        <v>NO</v>
      </c>
      <c r="S257" t="str">
        <f t="shared" si="55"/>
        <v>NO</v>
      </c>
      <c r="T257" t="str">
        <f t="shared" si="55"/>
        <v>NO</v>
      </c>
      <c r="U257" t="str">
        <f t="shared" si="55"/>
        <v>NO</v>
      </c>
      <c r="V257" t="str">
        <f t="shared" si="55"/>
        <v/>
      </c>
      <c r="W257" t="str">
        <f t="shared" si="45"/>
        <v/>
      </c>
      <c r="X257" s="1196" t="str">
        <f t="shared" si="46"/>
        <v/>
      </c>
      <c r="AG257" t="str">
        <f t="shared" si="53"/>
        <v>NO</v>
      </c>
      <c r="AH257" t="str">
        <f t="shared" si="56"/>
        <v>NO</v>
      </c>
      <c r="AI257" t="str">
        <f t="shared" si="56"/>
        <v>NO</v>
      </c>
      <c r="AJ257" t="str">
        <f t="shared" si="56"/>
        <v>NO</v>
      </c>
      <c r="AK257" t="str">
        <f t="shared" si="56"/>
        <v>NO</v>
      </c>
      <c r="AL257" t="str">
        <f t="shared" si="56"/>
        <v/>
      </c>
      <c r="AN257" s="1196" t="str">
        <f t="shared" si="47"/>
        <v/>
      </c>
      <c r="BA257" s="1196" t="str">
        <f t="shared" si="48"/>
        <v/>
      </c>
    </row>
    <row r="258" spans="1:53" x14ac:dyDescent="0.35">
      <c r="A258" t="str">
        <f t="shared" si="54"/>
        <v>NO</v>
      </c>
      <c r="B258" t="str">
        <f t="shared" si="54"/>
        <v>NO</v>
      </c>
      <c r="C258" t="str">
        <f t="shared" si="54"/>
        <v>NO</v>
      </c>
      <c r="D258" t="str">
        <f t="shared" si="54"/>
        <v>NO</v>
      </c>
      <c r="E258" t="str">
        <f t="shared" si="54"/>
        <v>NO</v>
      </c>
      <c r="F258" t="str">
        <f t="shared" si="54"/>
        <v/>
      </c>
      <c r="H258" s="1196" t="str">
        <f t="shared" si="44"/>
        <v/>
      </c>
      <c r="Q258" t="str">
        <f t="shared" si="52"/>
        <v>NO</v>
      </c>
      <c r="R258" t="str">
        <f t="shared" si="55"/>
        <v>NO</v>
      </c>
      <c r="S258" t="str">
        <f t="shared" si="55"/>
        <v>NO</v>
      </c>
      <c r="T258" t="str">
        <f t="shared" si="55"/>
        <v>NO</v>
      </c>
      <c r="U258" t="str">
        <f t="shared" si="55"/>
        <v>NO</v>
      </c>
      <c r="V258" t="str">
        <f t="shared" si="55"/>
        <v/>
      </c>
      <c r="W258" t="str">
        <f t="shared" si="45"/>
        <v/>
      </c>
      <c r="X258" s="1196" t="str">
        <f t="shared" si="46"/>
        <v/>
      </c>
      <c r="AG258" t="str">
        <f t="shared" si="53"/>
        <v>NO</v>
      </c>
      <c r="AH258" t="str">
        <f t="shared" si="56"/>
        <v>NO</v>
      </c>
      <c r="AI258" t="str">
        <f t="shared" si="56"/>
        <v>NO</v>
      </c>
      <c r="AJ258" t="str">
        <f t="shared" si="56"/>
        <v>NO</v>
      </c>
      <c r="AK258" t="str">
        <f t="shared" si="56"/>
        <v>NO</v>
      </c>
      <c r="AL258" t="str">
        <f t="shared" si="56"/>
        <v/>
      </c>
      <c r="AN258" s="1196" t="str">
        <f t="shared" si="47"/>
        <v/>
      </c>
      <c r="BA258" s="1196" t="str">
        <f t="shared" si="48"/>
        <v/>
      </c>
    </row>
    <row r="259" spans="1:53" x14ac:dyDescent="0.35">
      <c r="A259" t="str">
        <f t="shared" si="54"/>
        <v>NO</v>
      </c>
      <c r="B259" t="str">
        <f t="shared" si="54"/>
        <v>NO</v>
      </c>
      <c r="C259" t="str">
        <f t="shared" si="54"/>
        <v>NO</v>
      </c>
      <c r="D259" t="str">
        <f t="shared" si="54"/>
        <v>NO</v>
      </c>
      <c r="E259" t="str">
        <f t="shared" si="54"/>
        <v>NO</v>
      </c>
      <c r="F259" t="str">
        <f t="shared" si="54"/>
        <v/>
      </c>
      <c r="H259" s="1196" t="str">
        <f t="shared" si="44"/>
        <v/>
      </c>
      <c r="Q259" t="str">
        <f t="shared" si="52"/>
        <v>NO</v>
      </c>
      <c r="R259" t="str">
        <f t="shared" si="55"/>
        <v>NO</v>
      </c>
      <c r="S259" t="str">
        <f t="shared" si="55"/>
        <v>NO</v>
      </c>
      <c r="T259" t="str">
        <f t="shared" si="55"/>
        <v>NO</v>
      </c>
      <c r="U259" t="str">
        <f t="shared" si="55"/>
        <v>NO</v>
      </c>
      <c r="V259" t="str">
        <f t="shared" si="55"/>
        <v/>
      </c>
      <c r="W259" t="str">
        <f t="shared" si="45"/>
        <v/>
      </c>
      <c r="X259" s="1196" t="str">
        <f t="shared" si="46"/>
        <v/>
      </c>
      <c r="AG259" t="str">
        <f t="shared" si="53"/>
        <v>NO</v>
      </c>
      <c r="AH259" t="str">
        <f t="shared" si="56"/>
        <v>NO</v>
      </c>
      <c r="AI259" t="str">
        <f t="shared" si="56"/>
        <v>NO</v>
      </c>
      <c r="AJ259" t="str">
        <f t="shared" si="56"/>
        <v>NO</v>
      </c>
      <c r="AK259" t="str">
        <f t="shared" si="56"/>
        <v>NO</v>
      </c>
      <c r="AL259" t="str">
        <f t="shared" si="56"/>
        <v/>
      </c>
      <c r="AN259" s="1196" t="str">
        <f t="shared" si="47"/>
        <v/>
      </c>
      <c r="BA259" s="1196" t="str">
        <f t="shared" si="48"/>
        <v/>
      </c>
    </row>
    <row r="260" spans="1:53" x14ac:dyDescent="0.35">
      <c r="A260" t="str">
        <f t="shared" si="54"/>
        <v>NO</v>
      </c>
      <c r="B260" t="str">
        <f t="shared" si="54"/>
        <v>NO</v>
      </c>
      <c r="C260" t="str">
        <f t="shared" si="54"/>
        <v>NO</v>
      </c>
      <c r="D260" t="str">
        <f t="shared" si="54"/>
        <v>NO</v>
      </c>
      <c r="E260" t="str">
        <f t="shared" si="54"/>
        <v>NO</v>
      </c>
      <c r="F260" t="str">
        <f t="shared" si="54"/>
        <v/>
      </c>
      <c r="H260" s="1196" t="str">
        <f t="shared" ref="H260:H280" si="57">_xlfn.CONCAT(I260,J260,)</f>
        <v/>
      </c>
      <c r="Q260" t="str">
        <f t="shared" si="52"/>
        <v>NO</v>
      </c>
      <c r="R260" t="str">
        <f t="shared" si="55"/>
        <v>NO</v>
      </c>
      <c r="S260" t="str">
        <f t="shared" si="55"/>
        <v>NO</v>
      </c>
      <c r="T260" t="str">
        <f t="shared" si="55"/>
        <v>NO</v>
      </c>
      <c r="U260" t="str">
        <f t="shared" si="55"/>
        <v>NO</v>
      </c>
      <c r="V260" t="str">
        <f t="shared" si="55"/>
        <v/>
      </c>
      <c r="W260" t="str">
        <f t="shared" ref="W260:W280" si="58">IF(AV260=W259,_xlfn.CONCAT(AE260,AU260))</f>
        <v/>
      </c>
      <c r="X260" s="1196" t="str">
        <f t="shared" ref="X260:X280" si="59">_xlfn.CONCAT(Y260,Z260,)</f>
        <v/>
      </c>
      <c r="AG260" t="str">
        <f t="shared" si="53"/>
        <v>NO</v>
      </c>
      <c r="AH260" t="str">
        <f t="shared" si="56"/>
        <v>NO</v>
      </c>
      <c r="AI260" t="str">
        <f t="shared" si="56"/>
        <v>NO</v>
      </c>
      <c r="AJ260" t="str">
        <f t="shared" si="56"/>
        <v>NO</v>
      </c>
      <c r="AK260" t="str">
        <f t="shared" si="56"/>
        <v>NO</v>
      </c>
      <c r="AL260" t="str">
        <f t="shared" si="56"/>
        <v/>
      </c>
      <c r="AN260" s="1196" t="str">
        <f t="shared" ref="AN260:AN280" si="60">_xlfn.CONCAT(AO260,AP260,)</f>
        <v/>
      </c>
      <c r="BA260" s="1196" t="str">
        <f t="shared" ref="BA260:BA280" si="61">+IF(AZ260="si",_xlfn.CONCAT(AY260,AX260),"")</f>
        <v/>
      </c>
    </row>
    <row r="261" spans="1:53" x14ac:dyDescent="0.35">
      <c r="A261" t="str">
        <f t="shared" si="54"/>
        <v>NO</v>
      </c>
      <c r="B261" t="str">
        <f t="shared" si="54"/>
        <v>NO</v>
      </c>
      <c r="C261" t="str">
        <f t="shared" si="54"/>
        <v>NO</v>
      </c>
      <c r="D261" t="str">
        <f t="shared" si="54"/>
        <v>NO</v>
      </c>
      <c r="E261" t="str">
        <f t="shared" si="54"/>
        <v>NO</v>
      </c>
      <c r="F261" t="str">
        <f t="shared" si="54"/>
        <v/>
      </c>
      <c r="H261" s="1196" t="str">
        <f t="shared" si="57"/>
        <v/>
      </c>
      <c r="Q261" t="str">
        <f t="shared" si="52"/>
        <v>NO</v>
      </c>
      <c r="R261" t="str">
        <f t="shared" si="55"/>
        <v>NO</v>
      </c>
      <c r="S261" t="str">
        <f t="shared" si="55"/>
        <v>NO</v>
      </c>
      <c r="T261" t="str">
        <f t="shared" si="55"/>
        <v>NO</v>
      </c>
      <c r="U261" t="str">
        <f t="shared" si="55"/>
        <v>NO</v>
      </c>
      <c r="V261" t="str">
        <f t="shared" si="55"/>
        <v/>
      </c>
      <c r="W261" t="str">
        <f t="shared" si="58"/>
        <v/>
      </c>
      <c r="X261" s="1196" t="str">
        <f t="shared" si="59"/>
        <v/>
      </c>
      <c r="AG261" t="str">
        <f t="shared" si="53"/>
        <v>NO</v>
      </c>
      <c r="AH261" t="str">
        <f t="shared" si="56"/>
        <v>NO</v>
      </c>
      <c r="AI261" t="str">
        <f t="shared" si="56"/>
        <v>NO</v>
      </c>
      <c r="AJ261" t="str">
        <f t="shared" si="56"/>
        <v>NO</v>
      </c>
      <c r="AK261" t="str">
        <f t="shared" si="56"/>
        <v>NO</v>
      </c>
      <c r="AL261" t="str">
        <f t="shared" si="56"/>
        <v/>
      </c>
      <c r="AN261" s="1196" t="str">
        <f t="shared" si="60"/>
        <v/>
      </c>
      <c r="BA261" s="1196" t="str">
        <f t="shared" si="61"/>
        <v/>
      </c>
    </row>
    <row r="262" spans="1:53" x14ac:dyDescent="0.35">
      <c r="A262" t="str">
        <f t="shared" si="54"/>
        <v>NO</v>
      </c>
      <c r="B262" t="str">
        <f t="shared" si="54"/>
        <v>NO</v>
      </c>
      <c r="C262" t="str">
        <f t="shared" si="54"/>
        <v>NO</v>
      </c>
      <c r="D262" t="str">
        <f t="shared" si="54"/>
        <v>NO</v>
      </c>
      <c r="E262" t="str">
        <f t="shared" si="54"/>
        <v>NO</v>
      </c>
      <c r="F262" t="str">
        <f t="shared" si="54"/>
        <v/>
      </c>
      <c r="H262" s="1196" t="str">
        <f t="shared" si="57"/>
        <v/>
      </c>
      <c r="Q262" t="str">
        <f t="shared" si="52"/>
        <v>NO</v>
      </c>
      <c r="R262" t="str">
        <f t="shared" si="55"/>
        <v>NO</v>
      </c>
      <c r="S262" t="str">
        <f t="shared" si="55"/>
        <v>NO</v>
      </c>
      <c r="T262" t="str">
        <f t="shared" si="55"/>
        <v>NO</v>
      </c>
      <c r="U262" t="str">
        <f t="shared" si="55"/>
        <v>NO</v>
      </c>
      <c r="V262" t="str">
        <f t="shared" si="55"/>
        <v/>
      </c>
      <c r="W262" t="str">
        <f t="shared" si="58"/>
        <v/>
      </c>
      <c r="X262" s="1196" t="str">
        <f t="shared" si="59"/>
        <v/>
      </c>
      <c r="AG262" t="str">
        <f t="shared" si="53"/>
        <v>NO</v>
      </c>
      <c r="AH262" t="str">
        <f t="shared" si="56"/>
        <v>NO</v>
      </c>
      <c r="AI262" t="str">
        <f t="shared" si="56"/>
        <v>NO</v>
      </c>
      <c r="AJ262" t="str">
        <f t="shared" si="56"/>
        <v>NO</v>
      </c>
      <c r="AK262" t="str">
        <f t="shared" si="56"/>
        <v>NO</v>
      </c>
      <c r="AL262" t="str">
        <f t="shared" si="56"/>
        <v/>
      </c>
      <c r="AN262" s="1196" t="str">
        <f t="shared" si="60"/>
        <v/>
      </c>
      <c r="BA262" s="1196" t="str">
        <f t="shared" si="61"/>
        <v/>
      </c>
    </row>
    <row r="263" spans="1:53" x14ac:dyDescent="0.35">
      <c r="A263" t="str">
        <f t="shared" si="54"/>
        <v>NO</v>
      </c>
      <c r="B263" t="str">
        <f t="shared" si="54"/>
        <v>NO</v>
      </c>
      <c r="C263" t="str">
        <f t="shared" si="54"/>
        <v>NO</v>
      </c>
      <c r="D263" t="str">
        <f t="shared" si="54"/>
        <v>NO</v>
      </c>
      <c r="E263" t="str">
        <f t="shared" si="54"/>
        <v>NO</v>
      </c>
      <c r="F263" t="str">
        <f t="shared" si="54"/>
        <v/>
      </c>
      <c r="H263" s="1196" t="str">
        <f t="shared" si="57"/>
        <v/>
      </c>
      <c r="Q263" t="str">
        <f t="shared" si="52"/>
        <v>NO</v>
      </c>
      <c r="R263" t="str">
        <f t="shared" si="55"/>
        <v>NO</v>
      </c>
      <c r="S263" t="str">
        <f t="shared" si="55"/>
        <v>NO</v>
      </c>
      <c r="T263" t="str">
        <f t="shared" si="55"/>
        <v>NO</v>
      </c>
      <c r="U263" t="str">
        <f t="shared" si="55"/>
        <v>NO</v>
      </c>
      <c r="V263" t="str">
        <f t="shared" si="55"/>
        <v/>
      </c>
      <c r="W263" t="str">
        <f t="shared" si="58"/>
        <v/>
      </c>
      <c r="X263" s="1196" t="str">
        <f t="shared" si="59"/>
        <v/>
      </c>
      <c r="AG263" t="str">
        <f t="shared" si="53"/>
        <v>NO</v>
      </c>
      <c r="AH263" t="str">
        <f t="shared" si="56"/>
        <v>NO</v>
      </c>
      <c r="AI263" t="str">
        <f t="shared" si="56"/>
        <v>NO</v>
      </c>
      <c r="AJ263" t="str">
        <f t="shared" si="56"/>
        <v>NO</v>
      </c>
      <c r="AK263" t="str">
        <f t="shared" si="56"/>
        <v>NO</v>
      </c>
      <c r="AL263" t="str">
        <f t="shared" si="56"/>
        <v/>
      </c>
      <c r="AN263" s="1196" t="str">
        <f t="shared" si="60"/>
        <v/>
      </c>
      <c r="BA263" s="1196" t="str">
        <f t="shared" si="61"/>
        <v/>
      </c>
    </row>
    <row r="264" spans="1:53" x14ac:dyDescent="0.35">
      <c r="A264" t="str">
        <f t="shared" si="54"/>
        <v>NO</v>
      </c>
      <c r="B264" t="str">
        <f t="shared" si="54"/>
        <v>NO</v>
      </c>
      <c r="C264" t="str">
        <f t="shared" si="54"/>
        <v>NO</v>
      </c>
      <c r="D264" t="str">
        <f t="shared" si="54"/>
        <v>NO</v>
      </c>
      <c r="E264" t="str">
        <f t="shared" si="54"/>
        <v>NO</v>
      </c>
      <c r="F264" t="str">
        <f t="shared" si="54"/>
        <v/>
      </c>
      <c r="H264" s="1196" t="str">
        <f t="shared" si="57"/>
        <v/>
      </c>
      <c r="Q264" t="str">
        <f t="shared" si="52"/>
        <v>NO</v>
      </c>
      <c r="R264" t="str">
        <f t="shared" si="55"/>
        <v>NO</v>
      </c>
      <c r="S264" t="str">
        <f t="shared" si="55"/>
        <v>NO</v>
      </c>
      <c r="T264" t="str">
        <f t="shared" si="55"/>
        <v>NO</v>
      </c>
      <c r="U264" t="str">
        <f t="shared" si="55"/>
        <v>NO</v>
      </c>
      <c r="V264" t="str">
        <f t="shared" si="55"/>
        <v/>
      </c>
      <c r="W264" t="str">
        <f t="shared" si="58"/>
        <v/>
      </c>
      <c r="X264" s="1196" t="str">
        <f t="shared" si="59"/>
        <v/>
      </c>
      <c r="AG264" t="str">
        <f t="shared" si="53"/>
        <v>NO</v>
      </c>
      <c r="AH264" t="str">
        <f t="shared" si="56"/>
        <v>NO</v>
      </c>
      <c r="AI264" t="str">
        <f t="shared" si="56"/>
        <v>NO</v>
      </c>
      <c r="AJ264" t="str">
        <f t="shared" si="56"/>
        <v>NO</v>
      </c>
      <c r="AK264" t="str">
        <f t="shared" si="56"/>
        <v>NO</v>
      </c>
      <c r="AL264" t="str">
        <f t="shared" si="56"/>
        <v/>
      </c>
      <c r="AN264" s="1196" t="str">
        <f t="shared" si="60"/>
        <v/>
      </c>
      <c r="BA264" s="1196" t="str">
        <f t="shared" si="61"/>
        <v/>
      </c>
    </row>
    <row r="265" spans="1:53" x14ac:dyDescent="0.35">
      <c r="A265" t="str">
        <f t="shared" si="54"/>
        <v>NO</v>
      </c>
      <c r="B265" t="str">
        <f t="shared" si="54"/>
        <v>NO</v>
      </c>
      <c r="C265" t="str">
        <f t="shared" si="54"/>
        <v>NO</v>
      </c>
      <c r="D265" t="str">
        <f t="shared" si="54"/>
        <v>NO</v>
      </c>
      <c r="E265" t="str">
        <f t="shared" si="54"/>
        <v>NO</v>
      </c>
      <c r="F265" t="str">
        <f t="shared" si="54"/>
        <v/>
      </c>
      <c r="H265" s="1196" t="str">
        <f t="shared" si="57"/>
        <v/>
      </c>
      <c r="Q265" t="str">
        <f t="shared" si="52"/>
        <v>NO</v>
      </c>
      <c r="R265" t="str">
        <f t="shared" si="55"/>
        <v>NO</v>
      </c>
      <c r="S265" t="str">
        <f t="shared" si="55"/>
        <v>NO</v>
      </c>
      <c r="T265" t="str">
        <f t="shared" si="55"/>
        <v>NO</v>
      </c>
      <c r="U265" t="str">
        <f t="shared" si="55"/>
        <v>NO</v>
      </c>
      <c r="V265" t="str">
        <f t="shared" si="55"/>
        <v/>
      </c>
      <c r="W265" t="str">
        <f t="shared" si="58"/>
        <v/>
      </c>
      <c r="X265" s="1196" t="str">
        <f t="shared" si="59"/>
        <v/>
      </c>
      <c r="AG265" t="str">
        <f t="shared" si="53"/>
        <v>NO</v>
      </c>
      <c r="AH265" t="str">
        <f t="shared" si="56"/>
        <v>NO</v>
      </c>
      <c r="AI265" t="str">
        <f t="shared" si="56"/>
        <v>NO</v>
      </c>
      <c r="AJ265" t="str">
        <f t="shared" si="56"/>
        <v>NO</v>
      </c>
      <c r="AK265" t="str">
        <f t="shared" si="56"/>
        <v>NO</v>
      </c>
      <c r="AL265" t="str">
        <f t="shared" si="56"/>
        <v/>
      </c>
      <c r="AN265" s="1196" t="str">
        <f t="shared" si="60"/>
        <v/>
      </c>
      <c r="BA265" s="1196" t="str">
        <f t="shared" si="61"/>
        <v/>
      </c>
    </row>
    <row r="266" spans="1:53" x14ac:dyDescent="0.35">
      <c r="A266" t="str">
        <f t="shared" si="54"/>
        <v>NO</v>
      </c>
      <c r="B266" t="str">
        <f t="shared" si="54"/>
        <v>NO</v>
      </c>
      <c r="C266" t="str">
        <f t="shared" si="54"/>
        <v>NO</v>
      </c>
      <c r="D266" t="str">
        <f t="shared" si="54"/>
        <v>NO</v>
      </c>
      <c r="E266" t="str">
        <f t="shared" si="54"/>
        <v>NO</v>
      </c>
      <c r="F266" t="str">
        <f t="shared" si="54"/>
        <v/>
      </c>
      <c r="H266" s="1196" t="str">
        <f t="shared" si="57"/>
        <v/>
      </c>
      <c r="Q266" t="str">
        <f t="shared" si="52"/>
        <v>NO</v>
      </c>
      <c r="R266" t="str">
        <f t="shared" si="55"/>
        <v>NO</v>
      </c>
      <c r="S266" t="str">
        <f t="shared" si="55"/>
        <v>NO</v>
      </c>
      <c r="T266" t="str">
        <f t="shared" si="55"/>
        <v>NO</v>
      </c>
      <c r="U266" t="str">
        <f t="shared" si="55"/>
        <v>NO</v>
      </c>
      <c r="V266" t="str">
        <f t="shared" si="55"/>
        <v/>
      </c>
      <c r="W266" t="str">
        <f t="shared" si="58"/>
        <v/>
      </c>
      <c r="X266" s="1196" t="str">
        <f t="shared" si="59"/>
        <v/>
      </c>
      <c r="AG266" t="str">
        <f t="shared" si="53"/>
        <v>NO</v>
      </c>
      <c r="AH266" t="str">
        <f t="shared" si="56"/>
        <v>NO</v>
      </c>
      <c r="AI266" t="str">
        <f t="shared" si="56"/>
        <v>NO</v>
      </c>
      <c r="AJ266" t="str">
        <f t="shared" si="56"/>
        <v>NO</v>
      </c>
      <c r="AK266" t="str">
        <f t="shared" si="56"/>
        <v>NO</v>
      </c>
      <c r="AL266" t="str">
        <f t="shared" si="56"/>
        <v/>
      </c>
      <c r="AN266" s="1196" t="str">
        <f t="shared" si="60"/>
        <v/>
      </c>
      <c r="BA266" s="1196" t="str">
        <f t="shared" si="61"/>
        <v/>
      </c>
    </row>
    <row r="267" spans="1:53" x14ac:dyDescent="0.35">
      <c r="A267" t="str">
        <f t="shared" si="54"/>
        <v>NO</v>
      </c>
      <c r="B267" t="str">
        <f t="shared" si="54"/>
        <v>NO</v>
      </c>
      <c r="C267" t="str">
        <f t="shared" si="54"/>
        <v>NO</v>
      </c>
      <c r="D267" t="str">
        <f t="shared" si="54"/>
        <v>NO</v>
      </c>
      <c r="E267" t="str">
        <f t="shared" si="54"/>
        <v>NO</v>
      </c>
      <c r="F267" t="str">
        <f t="shared" si="54"/>
        <v/>
      </c>
      <c r="H267" s="1196" t="str">
        <f t="shared" si="57"/>
        <v/>
      </c>
      <c r="Q267" t="str">
        <f t="shared" si="52"/>
        <v>NO</v>
      </c>
      <c r="R267" t="str">
        <f t="shared" si="55"/>
        <v>NO</v>
      </c>
      <c r="S267" t="str">
        <f t="shared" si="55"/>
        <v>NO</v>
      </c>
      <c r="T267" t="str">
        <f t="shared" si="55"/>
        <v>NO</v>
      </c>
      <c r="U267" t="str">
        <f t="shared" si="55"/>
        <v>NO</v>
      </c>
      <c r="V267" t="str">
        <f t="shared" si="55"/>
        <v/>
      </c>
      <c r="W267" t="str">
        <f t="shared" si="58"/>
        <v/>
      </c>
      <c r="X267" s="1196" t="str">
        <f t="shared" si="59"/>
        <v/>
      </c>
      <c r="AG267" t="str">
        <f t="shared" si="53"/>
        <v>NO</v>
      </c>
      <c r="AH267" t="str">
        <f t="shared" si="56"/>
        <v>NO</v>
      </c>
      <c r="AI267" t="str">
        <f t="shared" si="56"/>
        <v>NO</v>
      </c>
      <c r="AJ267" t="str">
        <f t="shared" si="56"/>
        <v>NO</v>
      </c>
      <c r="AK267" t="str">
        <f t="shared" si="56"/>
        <v>NO</v>
      </c>
      <c r="AL267" t="str">
        <f t="shared" si="56"/>
        <v/>
      </c>
      <c r="AN267" s="1196" t="str">
        <f t="shared" si="60"/>
        <v/>
      </c>
      <c r="BA267" s="1196" t="str">
        <f t="shared" si="61"/>
        <v/>
      </c>
    </row>
    <row r="268" spans="1:53" x14ac:dyDescent="0.35">
      <c r="A268" t="str">
        <f t="shared" si="54"/>
        <v>NO</v>
      </c>
      <c r="B268" t="str">
        <f t="shared" si="54"/>
        <v>NO</v>
      </c>
      <c r="C268" t="str">
        <f t="shared" si="54"/>
        <v>NO</v>
      </c>
      <c r="D268" t="str">
        <f t="shared" si="54"/>
        <v>NO</v>
      </c>
      <c r="E268" t="str">
        <f t="shared" si="54"/>
        <v>NO</v>
      </c>
      <c r="F268" t="str">
        <f t="shared" si="54"/>
        <v/>
      </c>
      <c r="H268" s="1196" t="str">
        <f t="shared" si="57"/>
        <v/>
      </c>
      <c r="Q268" t="str">
        <f t="shared" si="52"/>
        <v>NO</v>
      </c>
      <c r="R268" t="str">
        <f t="shared" si="55"/>
        <v>NO</v>
      </c>
      <c r="S268" t="str">
        <f t="shared" si="55"/>
        <v>NO</v>
      </c>
      <c r="T268" t="str">
        <f t="shared" si="55"/>
        <v>NO</v>
      </c>
      <c r="U268" t="str">
        <f t="shared" si="55"/>
        <v>NO</v>
      </c>
      <c r="V268" t="str">
        <f t="shared" si="55"/>
        <v/>
      </c>
      <c r="W268" t="str">
        <f t="shared" si="58"/>
        <v/>
      </c>
      <c r="X268" s="1196" t="str">
        <f t="shared" si="59"/>
        <v/>
      </c>
      <c r="AG268" t="str">
        <f t="shared" si="53"/>
        <v>NO</v>
      </c>
      <c r="AH268" t="str">
        <f t="shared" si="56"/>
        <v>NO</v>
      </c>
      <c r="AI268" t="str">
        <f t="shared" si="56"/>
        <v>NO</v>
      </c>
      <c r="AJ268" t="str">
        <f t="shared" si="56"/>
        <v>NO</v>
      </c>
      <c r="AK268" t="str">
        <f t="shared" si="56"/>
        <v>NO</v>
      </c>
      <c r="AL268" t="str">
        <f t="shared" si="56"/>
        <v/>
      </c>
      <c r="AN268" s="1196" t="str">
        <f t="shared" si="60"/>
        <v/>
      </c>
      <c r="BA268" s="1196" t="str">
        <f t="shared" si="61"/>
        <v/>
      </c>
    </row>
    <row r="269" spans="1:53" x14ac:dyDescent="0.35">
      <c r="A269" t="str">
        <f t="shared" si="54"/>
        <v>NO</v>
      </c>
      <c r="B269" t="str">
        <f t="shared" si="54"/>
        <v>NO</v>
      </c>
      <c r="C269" t="str">
        <f t="shared" si="54"/>
        <v>NO</v>
      </c>
      <c r="D269" t="str">
        <f t="shared" si="54"/>
        <v>NO</v>
      </c>
      <c r="E269" t="str">
        <f t="shared" si="54"/>
        <v>NO</v>
      </c>
      <c r="F269" t="str">
        <f t="shared" si="54"/>
        <v/>
      </c>
      <c r="H269" s="1196" t="str">
        <f t="shared" si="57"/>
        <v/>
      </c>
      <c r="Q269" t="str">
        <f t="shared" si="52"/>
        <v>NO</v>
      </c>
      <c r="R269" t="str">
        <f t="shared" si="55"/>
        <v>NO</v>
      </c>
      <c r="S269" t="str">
        <f t="shared" si="55"/>
        <v>NO</v>
      </c>
      <c r="T269" t="str">
        <f t="shared" si="55"/>
        <v>NO</v>
      </c>
      <c r="U269" t="str">
        <f t="shared" si="55"/>
        <v>NO</v>
      </c>
      <c r="V269" t="str">
        <f t="shared" si="55"/>
        <v/>
      </c>
      <c r="W269" t="str">
        <f t="shared" si="58"/>
        <v/>
      </c>
      <c r="X269" s="1196" t="str">
        <f t="shared" si="59"/>
        <v/>
      </c>
      <c r="AG269" t="str">
        <f t="shared" si="53"/>
        <v>NO</v>
      </c>
      <c r="AH269" t="str">
        <f t="shared" si="56"/>
        <v>NO</v>
      </c>
      <c r="AI269" t="str">
        <f t="shared" si="56"/>
        <v>NO</v>
      </c>
      <c r="AJ269" t="str">
        <f t="shared" si="56"/>
        <v>NO</v>
      </c>
      <c r="AK269" t="str">
        <f t="shared" si="56"/>
        <v>NO</v>
      </c>
      <c r="AL269" t="str">
        <f t="shared" si="56"/>
        <v/>
      </c>
      <c r="AN269" s="1196" t="str">
        <f t="shared" si="60"/>
        <v/>
      </c>
      <c r="BA269" s="1196" t="str">
        <f t="shared" si="61"/>
        <v/>
      </c>
    </row>
    <row r="270" spans="1:53" x14ac:dyDescent="0.35">
      <c r="A270" t="str">
        <f t="shared" si="54"/>
        <v>NO</v>
      </c>
      <c r="B270" t="str">
        <f t="shared" si="54"/>
        <v>NO</v>
      </c>
      <c r="C270" t="str">
        <f t="shared" si="54"/>
        <v>NO</v>
      </c>
      <c r="D270" t="str">
        <f t="shared" si="54"/>
        <v>NO</v>
      </c>
      <c r="E270" t="str">
        <f t="shared" si="54"/>
        <v>NO</v>
      </c>
      <c r="F270" t="str">
        <f t="shared" si="54"/>
        <v/>
      </c>
      <c r="H270" s="1196" t="str">
        <f t="shared" si="57"/>
        <v/>
      </c>
      <c r="Q270" t="str">
        <f t="shared" si="52"/>
        <v>NO</v>
      </c>
      <c r="R270" t="str">
        <f t="shared" si="55"/>
        <v>NO</v>
      </c>
      <c r="S270" t="str">
        <f t="shared" si="55"/>
        <v>NO</v>
      </c>
      <c r="T270" t="str">
        <f t="shared" si="55"/>
        <v>NO</v>
      </c>
      <c r="U270" t="str">
        <f t="shared" si="55"/>
        <v>NO</v>
      </c>
      <c r="V270" t="str">
        <f t="shared" si="55"/>
        <v/>
      </c>
      <c r="W270" t="str">
        <f t="shared" si="58"/>
        <v/>
      </c>
      <c r="X270" s="1196" t="str">
        <f t="shared" si="59"/>
        <v/>
      </c>
      <c r="AG270" t="str">
        <f t="shared" si="53"/>
        <v>NO</v>
      </c>
      <c r="AH270" t="str">
        <f t="shared" si="56"/>
        <v>NO</v>
      </c>
      <c r="AI270" t="str">
        <f t="shared" si="56"/>
        <v>NO</v>
      </c>
      <c r="AJ270" t="str">
        <f t="shared" si="56"/>
        <v>NO</v>
      </c>
      <c r="AK270" t="str">
        <f t="shared" si="56"/>
        <v>NO</v>
      </c>
      <c r="AL270" t="str">
        <f t="shared" si="56"/>
        <v/>
      </c>
      <c r="AN270" s="1196" t="str">
        <f t="shared" si="60"/>
        <v/>
      </c>
      <c r="BA270" s="1196" t="str">
        <f t="shared" si="61"/>
        <v/>
      </c>
    </row>
    <row r="271" spans="1:53" x14ac:dyDescent="0.35">
      <c r="A271" t="str">
        <f t="shared" si="54"/>
        <v>NO</v>
      </c>
      <c r="B271" t="str">
        <f t="shared" si="54"/>
        <v>NO</v>
      </c>
      <c r="C271" t="str">
        <f t="shared" si="54"/>
        <v>NO</v>
      </c>
      <c r="D271" t="str">
        <f t="shared" si="54"/>
        <v>NO</v>
      </c>
      <c r="E271" t="str">
        <f t="shared" si="54"/>
        <v>NO</v>
      </c>
      <c r="F271" t="str">
        <f t="shared" si="54"/>
        <v/>
      </c>
      <c r="H271" s="1196" t="str">
        <f t="shared" si="57"/>
        <v/>
      </c>
      <c r="Q271" t="str">
        <f t="shared" si="52"/>
        <v>NO</v>
      </c>
      <c r="R271" t="str">
        <f t="shared" si="55"/>
        <v>NO</v>
      </c>
      <c r="S271" t="str">
        <f t="shared" si="55"/>
        <v>NO</v>
      </c>
      <c r="T271" t="str">
        <f t="shared" si="55"/>
        <v>NO</v>
      </c>
      <c r="U271" t="str">
        <f t="shared" si="55"/>
        <v>NO</v>
      </c>
      <c r="V271" t="str">
        <f t="shared" si="55"/>
        <v/>
      </c>
      <c r="W271" t="str">
        <f t="shared" si="58"/>
        <v/>
      </c>
      <c r="X271" s="1196" t="str">
        <f t="shared" si="59"/>
        <v/>
      </c>
      <c r="AG271" t="str">
        <f t="shared" si="53"/>
        <v>NO</v>
      </c>
      <c r="AH271" t="str">
        <f t="shared" si="56"/>
        <v>NO</v>
      </c>
      <c r="AI271" t="str">
        <f t="shared" si="56"/>
        <v>NO</v>
      </c>
      <c r="AJ271" t="str">
        <f t="shared" si="56"/>
        <v>NO</v>
      </c>
      <c r="AK271" t="str">
        <f t="shared" si="56"/>
        <v>NO</v>
      </c>
      <c r="AL271" t="str">
        <f t="shared" si="56"/>
        <v/>
      </c>
      <c r="AN271" s="1196" t="str">
        <f t="shared" si="60"/>
        <v/>
      </c>
      <c r="BA271" s="1196" t="str">
        <f t="shared" si="61"/>
        <v/>
      </c>
    </row>
    <row r="272" spans="1:53" x14ac:dyDescent="0.35">
      <c r="A272" t="str">
        <f t="shared" si="54"/>
        <v>NO</v>
      </c>
      <c r="B272" t="str">
        <f t="shared" si="54"/>
        <v>NO</v>
      </c>
      <c r="C272" t="str">
        <f t="shared" si="54"/>
        <v>NO</v>
      </c>
      <c r="D272" t="str">
        <f t="shared" si="54"/>
        <v>NO</v>
      </c>
      <c r="E272" t="str">
        <f t="shared" si="54"/>
        <v>NO</v>
      </c>
      <c r="F272" t="str">
        <f t="shared" si="54"/>
        <v/>
      </c>
      <c r="H272" s="1196" t="str">
        <f t="shared" si="57"/>
        <v/>
      </c>
      <c r="Q272" t="str">
        <f t="shared" si="52"/>
        <v>NO</v>
      </c>
      <c r="R272" t="str">
        <f t="shared" si="55"/>
        <v>NO</v>
      </c>
      <c r="S272" t="str">
        <f t="shared" si="55"/>
        <v>NO</v>
      </c>
      <c r="T272" t="str">
        <f t="shared" si="55"/>
        <v>NO</v>
      </c>
      <c r="U272" t="str">
        <f t="shared" si="55"/>
        <v>NO</v>
      </c>
      <c r="V272" t="str">
        <f t="shared" si="55"/>
        <v/>
      </c>
      <c r="W272" t="str">
        <f t="shared" si="58"/>
        <v/>
      </c>
      <c r="X272" s="1196" t="str">
        <f t="shared" si="59"/>
        <v/>
      </c>
      <c r="AG272" t="str">
        <f t="shared" si="53"/>
        <v>NO</v>
      </c>
      <c r="AH272" t="str">
        <f t="shared" si="56"/>
        <v>NO</v>
      </c>
      <c r="AI272" t="str">
        <f t="shared" si="56"/>
        <v>NO</v>
      </c>
      <c r="AJ272" t="str">
        <f t="shared" si="56"/>
        <v>NO</v>
      </c>
      <c r="AK272" t="str">
        <f t="shared" si="56"/>
        <v>NO</v>
      </c>
      <c r="AL272" t="str">
        <f t="shared" si="56"/>
        <v/>
      </c>
      <c r="AN272" s="1196" t="str">
        <f t="shared" si="60"/>
        <v/>
      </c>
      <c r="BA272" s="1196" t="str">
        <f t="shared" si="61"/>
        <v/>
      </c>
    </row>
    <row r="273" spans="1:53" x14ac:dyDescent="0.35">
      <c r="A273" t="str">
        <f t="shared" si="54"/>
        <v>NO</v>
      </c>
      <c r="B273" t="str">
        <f t="shared" si="54"/>
        <v>NO</v>
      </c>
      <c r="C273" t="str">
        <f t="shared" si="54"/>
        <v>NO</v>
      </c>
      <c r="D273" t="str">
        <f t="shared" si="54"/>
        <v>NO</v>
      </c>
      <c r="E273" t="str">
        <f t="shared" si="54"/>
        <v>NO</v>
      </c>
      <c r="F273" t="str">
        <f t="shared" si="54"/>
        <v/>
      </c>
      <c r="H273" s="1196" t="str">
        <f t="shared" si="57"/>
        <v/>
      </c>
      <c r="Q273" t="str">
        <f t="shared" si="52"/>
        <v>NO</v>
      </c>
      <c r="R273" t="str">
        <f t="shared" si="55"/>
        <v>NO</v>
      </c>
      <c r="S273" t="str">
        <f t="shared" si="55"/>
        <v>NO</v>
      </c>
      <c r="T273" t="str">
        <f t="shared" si="55"/>
        <v>NO</v>
      </c>
      <c r="U273" t="str">
        <f t="shared" si="55"/>
        <v>NO</v>
      </c>
      <c r="V273" t="str">
        <f t="shared" si="55"/>
        <v/>
      </c>
      <c r="W273" t="str">
        <f t="shared" si="58"/>
        <v/>
      </c>
      <c r="X273" s="1196" t="str">
        <f t="shared" si="59"/>
        <v/>
      </c>
      <c r="AG273" t="str">
        <f t="shared" si="53"/>
        <v>NO</v>
      </c>
      <c r="AH273" t="str">
        <f t="shared" si="56"/>
        <v>NO</v>
      </c>
      <c r="AI273" t="str">
        <f t="shared" si="56"/>
        <v>NO</v>
      </c>
      <c r="AJ273" t="str">
        <f t="shared" si="56"/>
        <v>NO</v>
      </c>
      <c r="AK273" t="str">
        <f t="shared" si="56"/>
        <v>NO</v>
      </c>
      <c r="AL273" t="str">
        <f t="shared" si="56"/>
        <v/>
      </c>
      <c r="AN273" s="1196" t="str">
        <f t="shared" si="60"/>
        <v/>
      </c>
      <c r="BA273" s="1196" t="str">
        <f t="shared" si="61"/>
        <v/>
      </c>
    </row>
    <row r="274" spans="1:53" x14ac:dyDescent="0.35">
      <c r="A274" t="str">
        <f t="shared" si="54"/>
        <v>NO</v>
      </c>
      <c r="B274" t="str">
        <f t="shared" si="54"/>
        <v>NO</v>
      </c>
      <c r="C274" t="str">
        <f t="shared" si="54"/>
        <v>NO</v>
      </c>
      <c r="D274" t="str">
        <f t="shared" si="54"/>
        <v>NO</v>
      </c>
      <c r="E274" t="str">
        <f t="shared" si="54"/>
        <v>NO</v>
      </c>
      <c r="F274" t="str">
        <f t="shared" si="54"/>
        <v/>
      </c>
      <c r="H274" s="1196" t="str">
        <f t="shared" si="57"/>
        <v/>
      </c>
      <c r="Q274" t="str">
        <f t="shared" si="52"/>
        <v>NO</v>
      </c>
      <c r="R274" t="str">
        <f t="shared" si="55"/>
        <v>NO</v>
      </c>
      <c r="S274" t="str">
        <f t="shared" si="55"/>
        <v>NO</v>
      </c>
      <c r="T274" t="str">
        <f t="shared" si="55"/>
        <v>NO</v>
      </c>
      <c r="U274" t="str">
        <f t="shared" si="55"/>
        <v>NO</v>
      </c>
      <c r="V274" t="str">
        <f t="shared" si="55"/>
        <v/>
      </c>
      <c r="W274" t="str">
        <f t="shared" si="58"/>
        <v/>
      </c>
      <c r="X274" s="1196" t="str">
        <f t="shared" si="59"/>
        <v/>
      </c>
      <c r="AG274" t="str">
        <f t="shared" si="53"/>
        <v>NO</v>
      </c>
      <c r="AH274" t="str">
        <f t="shared" si="56"/>
        <v>NO</v>
      </c>
      <c r="AI274" t="str">
        <f t="shared" si="56"/>
        <v>NO</v>
      </c>
      <c r="AJ274" t="str">
        <f t="shared" si="56"/>
        <v>NO</v>
      </c>
      <c r="AK274" t="str">
        <f t="shared" si="56"/>
        <v>NO</v>
      </c>
      <c r="AL274" t="str">
        <f t="shared" si="56"/>
        <v/>
      </c>
      <c r="AN274" s="1196" t="str">
        <f t="shared" si="60"/>
        <v/>
      </c>
      <c r="BA274" s="1196" t="str">
        <f t="shared" si="61"/>
        <v/>
      </c>
    </row>
    <row r="275" spans="1:53" x14ac:dyDescent="0.35">
      <c r="A275" t="str">
        <f t="shared" si="54"/>
        <v>NO</v>
      </c>
      <c r="B275" t="str">
        <f t="shared" si="54"/>
        <v>NO</v>
      </c>
      <c r="C275" t="str">
        <f t="shared" si="54"/>
        <v>NO</v>
      </c>
      <c r="D275" t="str">
        <f t="shared" si="54"/>
        <v>NO</v>
      </c>
      <c r="E275" t="str">
        <f t="shared" si="54"/>
        <v>NO</v>
      </c>
      <c r="F275" t="str">
        <f t="shared" si="54"/>
        <v/>
      </c>
      <c r="H275" s="1196" t="str">
        <f t="shared" si="57"/>
        <v/>
      </c>
      <c r="Q275" t="str">
        <f t="shared" si="52"/>
        <v>NO</v>
      </c>
      <c r="R275" t="str">
        <f t="shared" si="55"/>
        <v>NO</v>
      </c>
      <c r="S275" t="str">
        <f t="shared" si="55"/>
        <v>NO</v>
      </c>
      <c r="T275" t="str">
        <f t="shared" si="55"/>
        <v>NO</v>
      </c>
      <c r="U275" t="str">
        <f t="shared" si="55"/>
        <v>NO</v>
      </c>
      <c r="V275" t="str">
        <f t="shared" si="55"/>
        <v/>
      </c>
      <c r="W275" t="str">
        <f t="shared" si="58"/>
        <v/>
      </c>
      <c r="X275" s="1196" t="str">
        <f t="shared" si="59"/>
        <v/>
      </c>
      <c r="AG275" t="str">
        <f t="shared" si="53"/>
        <v>NO</v>
      </c>
      <c r="AH275" t="str">
        <f t="shared" si="56"/>
        <v>NO</v>
      </c>
      <c r="AI275" t="str">
        <f t="shared" si="56"/>
        <v>NO</v>
      </c>
      <c r="AJ275" t="str">
        <f t="shared" si="56"/>
        <v>NO</v>
      </c>
      <c r="AK275" t="str">
        <f t="shared" si="56"/>
        <v>NO</v>
      </c>
      <c r="AL275" t="str">
        <f t="shared" si="56"/>
        <v/>
      </c>
      <c r="AN275" s="1196" t="str">
        <f t="shared" si="60"/>
        <v/>
      </c>
      <c r="BA275" s="1196" t="str">
        <f t="shared" si="61"/>
        <v/>
      </c>
    </row>
    <row r="276" spans="1:53" x14ac:dyDescent="0.35">
      <c r="A276" t="str">
        <f t="shared" si="54"/>
        <v>NO</v>
      </c>
      <c r="B276" t="str">
        <f t="shared" si="54"/>
        <v>NO</v>
      </c>
      <c r="C276" t="str">
        <f t="shared" si="54"/>
        <v>NO</v>
      </c>
      <c r="D276" t="str">
        <f t="shared" si="54"/>
        <v>NO</v>
      </c>
      <c r="E276" t="str">
        <f t="shared" si="54"/>
        <v>NO</v>
      </c>
      <c r="F276" t="str">
        <f t="shared" si="54"/>
        <v/>
      </c>
      <c r="H276" s="1196" t="str">
        <f t="shared" si="57"/>
        <v/>
      </c>
      <c r="Q276" t="str">
        <f t="shared" si="52"/>
        <v>NO</v>
      </c>
      <c r="R276" t="str">
        <f t="shared" si="55"/>
        <v>NO</v>
      </c>
      <c r="S276" t="str">
        <f t="shared" si="55"/>
        <v>NO</v>
      </c>
      <c r="T276" t="str">
        <f t="shared" si="55"/>
        <v>NO</v>
      </c>
      <c r="U276" t="str">
        <f t="shared" si="55"/>
        <v>NO</v>
      </c>
      <c r="V276" t="str">
        <f t="shared" si="55"/>
        <v/>
      </c>
      <c r="W276" t="str">
        <f t="shared" si="58"/>
        <v/>
      </c>
      <c r="X276" s="1196" t="str">
        <f t="shared" si="59"/>
        <v/>
      </c>
      <c r="AG276" t="str">
        <f t="shared" si="53"/>
        <v>NO</v>
      </c>
      <c r="AH276" t="str">
        <f t="shared" si="56"/>
        <v>NO</v>
      </c>
      <c r="AI276" t="str">
        <f t="shared" si="56"/>
        <v>NO</v>
      </c>
      <c r="AJ276" t="str">
        <f t="shared" si="56"/>
        <v>NO</v>
      </c>
      <c r="AK276" t="str">
        <f t="shared" si="56"/>
        <v>NO</v>
      </c>
      <c r="AL276" t="str">
        <f t="shared" si="56"/>
        <v/>
      </c>
      <c r="AN276" s="1196" t="str">
        <f t="shared" si="60"/>
        <v/>
      </c>
      <c r="BA276" s="1196" t="str">
        <f t="shared" si="61"/>
        <v/>
      </c>
    </row>
    <row r="277" spans="1:53" x14ac:dyDescent="0.35">
      <c r="A277" t="str">
        <f t="shared" si="54"/>
        <v>NO</v>
      </c>
      <c r="B277" t="str">
        <f t="shared" si="54"/>
        <v>NO</v>
      </c>
      <c r="C277" t="str">
        <f t="shared" si="54"/>
        <v>NO</v>
      </c>
      <c r="D277" t="str">
        <f t="shared" si="54"/>
        <v>NO</v>
      </c>
      <c r="E277" t="str">
        <f t="shared" si="54"/>
        <v>NO</v>
      </c>
      <c r="F277" t="str">
        <f t="shared" si="54"/>
        <v/>
      </c>
      <c r="H277" s="1196" t="str">
        <f t="shared" si="57"/>
        <v/>
      </c>
      <c r="Q277" t="str">
        <f t="shared" si="52"/>
        <v>NO</v>
      </c>
      <c r="R277" t="str">
        <f t="shared" si="55"/>
        <v>NO</v>
      </c>
      <c r="S277" t="str">
        <f t="shared" si="55"/>
        <v>NO</v>
      </c>
      <c r="T277" t="str">
        <f t="shared" si="55"/>
        <v>NO</v>
      </c>
      <c r="U277" t="str">
        <f t="shared" si="55"/>
        <v>NO</v>
      </c>
      <c r="V277" t="str">
        <f t="shared" si="55"/>
        <v/>
      </c>
      <c r="W277" t="str">
        <f t="shared" si="58"/>
        <v/>
      </c>
      <c r="X277" s="1196" t="str">
        <f t="shared" si="59"/>
        <v/>
      </c>
      <c r="AG277" t="str">
        <f t="shared" si="53"/>
        <v>NO</v>
      </c>
      <c r="AH277" t="str">
        <f t="shared" si="56"/>
        <v>NO</v>
      </c>
      <c r="AI277" t="str">
        <f t="shared" si="56"/>
        <v>NO</v>
      </c>
      <c r="AJ277" t="str">
        <f t="shared" si="56"/>
        <v>NO</v>
      </c>
      <c r="AK277" t="str">
        <f t="shared" si="56"/>
        <v>NO</v>
      </c>
      <c r="AL277" t="str">
        <f t="shared" si="56"/>
        <v/>
      </c>
      <c r="AN277" s="1196" t="str">
        <f t="shared" si="60"/>
        <v/>
      </c>
      <c r="BA277" s="1196" t="str">
        <f t="shared" si="61"/>
        <v/>
      </c>
    </row>
    <row r="278" spans="1:53" x14ac:dyDescent="0.35">
      <c r="A278" t="str">
        <f t="shared" si="54"/>
        <v>NO</v>
      </c>
      <c r="B278" t="str">
        <f t="shared" si="54"/>
        <v>NO</v>
      </c>
      <c r="C278" t="str">
        <f t="shared" si="54"/>
        <v>NO</v>
      </c>
      <c r="D278" t="str">
        <f t="shared" si="54"/>
        <v>NO</v>
      </c>
      <c r="E278" t="str">
        <f t="shared" si="54"/>
        <v>NO</v>
      </c>
      <c r="F278" t="str">
        <f t="shared" si="54"/>
        <v/>
      </c>
      <c r="H278" s="1196" t="str">
        <f t="shared" si="57"/>
        <v/>
      </c>
      <c r="Q278" t="str">
        <f t="shared" si="52"/>
        <v>NO</v>
      </c>
      <c r="R278" t="str">
        <f t="shared" si="55"/>
        <v>NO</v>
      </c>
      <c r="S278" t="str">
        <f t="shared" si="55"/>
        <v>NO</v>
      </c>
      <c r="T278" t="str">
        <f t="shared" si="55"/>
        <v>NO</v>
      </c>
      <c r="U278" t="str">
        <f t="shared" si="55"/>
        <v>NO</v>
      </c>
      <c r="V278" t="str">
        <f t="shared" si="55"/>
        <v/>
      </c>
      <c r="W278" t="str">
        <f t="shared" si="58"/>
        <v/>
      </c>
      <c r="X278" s="1196" t="str">
        <f t="shared" si="59"/>
        <v/>
      </c>
      <c r="AG278" t="str">
        <f t="shared" si="53"/>
        <v>NO</v>
      </c>
      <c r="AH278" t="str">
        <f t="shared" si="56"/>
        <v>NO</v>
      </c>
      <c r="AI278" t="str">
        <f t="shared" si="56"/>
        <v>NO</v>
      </c>
      <c r="AJ278" t="str">
        <f t="shared" si="56"/>
        <v>NO</v>
      </c>
      <c r="AK278" t="str">
        <f t="shared" si="56"/>
        <v>NO</v>
      </c>
      <c r="AL278" t="str">
        <f t="shared" si="56"/>
        <v/>
      </c>
      <c r="AN278" s="1196" t="str">
        <f t="shared" si="60"/>
        <v/>
      </c>
      <c r="BA278" s="1196" t="str">
        <f t="shared" si="61"/>
        <v/>
      </c>
    </row>
    <row r="279" spans="1:53" x14ac:dyDescent="0.35">
      <c r="A279" t="str">
        <f t="shared" si="54"/>
        <v>NO</v>
      </c>
      <c r="B279" t="str">
        <f t="shared" si="54"/>
        <v>NO</v>
      </c>
      <c r="C279" t="str">
        <f t="shared" si="54"/>
        <v>NO</v>
      </c>
      <c r="D279" t="str">
        <f t="shared" si="54"/>
        <v>NO</v>
      </c>
      <c r="E279" t="str">
        <f t="shared" si="54"/>
        <v>NO</v>
      </c>
      <c r="F279" t="str">
        <f t="shared" si="54"/>
        <v/>
      </c>
      <c r="H279" s="1196" t="str">
        <f t="shared" si="57"/>
        <v/>
      </c>
      <c r="Q279" t="str">
        <f t="shared" si="52"/>
        <v>NO</v>
      </c>
      <c r="R279" t="str">
        <f t="shared" si="55"/>
        <v>NO</v>
      </c>
      <c r="S279" t="str">
        <f t="shared" si="55"/>
        <v>NO</v>
      </c>
      <c r="T279" t="str">
        <f t="shared" si="55"/>
        <v>NO</v>
      </c>
      <c r="U279" t="str">
        <f t="shared" si="55"/>
        <v>NO</v>
      </c>
      <c r="V279" t="str">
        <f t="shared" si="55"/>
        <v/>
      </c>
      <c r="W279" t="str">
        <f t="shared" si="58"/>
        <v/>
      </c>
      <c r="X279" s="1196" t="str">
        <f t="shared" si="59"/>
        <v/>
      </c>
      <c r="AG279" t="str">
        <f t="shared" si="53"/>
        <v>NO</v>
      </c>
      <c r="AH279" t="str">
        <f t="shared" si="56"/>
        <v>NO</v>
      </c>
      <c r="AI279" t="str">
        <f t="shared" si="56"/>
        <v>NO</v>
      </c>
      <c r="AJ279" t="str">
        <f t="shared" si="56"/>
        <v>NO</v>
      </c>
      <c r="AK279" t="str">
        <f t="shared" si="56"/>
        <v>NO</v>
      </c>
      <c r="AL279" t="str">
        <f t="shared" si="56"/>
        <v/>
      </c>
      <c r="AN279" s="1196" t="str">
        <f t="shared" si="60"/>
        <v/>
      </c>
      <c r="BA279" s="1196" t="str">
        <f t="shared" si="61"/>
        <v/>
      </c>
    </row>
    <row r="280" spans="1:53" x14ac:dyDescent="0.35">
      <c r="A280" t="str">
        <f t="shared" si="54"/>
        <v>NO</v>
      </c>
      <c r="B280" t="str">
        <f t="shared" si="54"/>
        <v>NO</v>
      </c>
      <c r="C280" t="str">
        <f t="shared" si="54"/>
        <v>NO</v>
      </c>
      <c r="D280" t="str">
        <f t="shared" si="54"/>
        <v>NO</v>
      </c>
      <c r="E280" t="str">
        <f t="shared" si="54"/>
        <v>NO</v>
      </c>
      <c r="F280" t="str">
        <f t="shared" si="54"/>
        <v/>
      </c>
      <c r="H280" s="1196" t="str">
        <f t="shared" si="57"/>
        <v/>
      </c>
      <c r="Q280" t="str">
        <f t="shared" si="52"/>
        <v>NO</v>
      </c>
      <c r="R280" t="str">
        <f t="shared" si="55"/>
        <v>NO</v>
      </c>
      <c r="S280" t="str">
        <f t="shared" si="55"/>
        <v>NO</v>
      </c>
      <c r="T280" t="str">
        <f t="shared" si="55"/>
        <v>NO</v>
      </c>
      <c r="U280" t="str">
        <f t="shared" si="55"/>
        <v>NO</v>
      </c>
      <c r="V280" t="str">
        <f t="shared" si="55"/>
        <v/>
      </c>
      <c r="W280" t="str">
        <f t="shared" si="58"/>
        <v/>
      </c>
      <c r="X280" s="1196" t="str">
        <f t="shared" si="59"/>
        <v/>
      </c>
      <c r="AG280" t="str">
        <f t="shared" si="53"/>
        <v>NO</v>
      </c>
      <c r="AH280" t="str">
        <f t="shared" si="56"/>
        <v>NO</v>
      </c>
      <c r="AI280" t="str">
        <f t="shared" si="56"/>
        <v>NO</v>
      </c>
      <c r="AJ280" t="str">
        <f t="shared" si="56"/>
        <v>NO</v>
      </c>
      <c r="AK280" t="str">
        <f t="shared" si="56"/>
        <v>NO</v>
      </c>
      <c r="AL280" t="str">
        <f t="shared" si="56"/>
        <v/>
      </c>
      <c r="AN280" s="1196" t="str">
        <f t="shared" si="60"/>
        <v/>
      </c>
      <c r="BA280" s="1196" t="str">
        <f t="shared" si="61"/>
        <v/>
      </c>
    </row>
  </sheetData>
  <mergeCells count="4">
    <mergeCell ref="H1:O1"/>
    <mergeCell ref="X1:AE1"/>
    <mergeCell ref="AN1:AU1"/>
    <mergeCell ref="AX1:AZ1"/>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49023-4DB6-4634-A77B-DEC4BF48F763}">
  <sheetPr codeName="Foglio31"/>
  <dimension ref="A1:U180"/>
  <sheetViews>
    <sheetView topLeftCell="A129" workbookViewId="0">
      <selection activeCell="B16" sqref="B16"/>
    </sheetView>
  </sheetViews>
  <sheetFormatPr defaultRowHeight="14.5" x14ac:dyDescent="0.35"/>
  <cols>
    <col min="1" max="1" width="3.453125" customWidth="1"/>
    <col min="2" max="2" width="27" customWidth="1"/>
    <col min="3" max="3" width="14.7265625" customWidth="1"/>
    <col min="4" max="4" width="14.7265625" bestFit="1" customWidth="1"/>
    <col min="5" max="5" width="15.453125" customWidth="1"/>
    <col min="6" max="6" width="14.7265625" customWidth="1"/>
    <col min="7" max="7" width="15.81640625" customWidth="1"/>
    <col min="8" max="8" width="18.7265625" customWidth="1"/>
    <col min="9" max="9" width="23.453125" customWidth="1"/>
    <col min="10" max="10" width="30.7265625" customWidth="1"/>
    <col min="11" max="11" width="40.453125" customWidth="1"/>
    <col min="12" max="12" width="11.54296875" customWidth="1"/>
    <col min="13" max="13" width="11.453125" customWidth="1"/>
    <col min="14" max="14" width="10.54296875" customWidth="1"/>
    <col min="15" max="16" width="9.7265625" bestFit="1" customWidth="1"/>
    <col min="19" max="19" width="9.7265625" bestFit="1" customWidth="1"/>
    <col min="20" max="20" width="8.54296875" customWidth="1"/>
    <col min="21" max="21" width="9.1796875" style="989"/>
  </cols>
  <sheetData>
    <row r="1" spans="1:20" ht="15" thickBot="1" x14ac:dyDescent="0.4">
      <c r="A1" s="860"/>
      <c r="B1" s="860"/>
      <c r="C1" s="860"/>
      <c r="D1" s="860"/>
      <c r="E1" s="860"/>
      <c r="F1" s="860"/>
      <c r="G1" s="860"/>
      <c r="H1" s="860"/>
      <c r="I1" s="860"/>
      <c r="J1" s="860"/>
      <c r="K1" s="860"/>
      <c r="L1" s="989"/>
      <c r="M1" s="989"/>
      <c r="N1" s="989"/>
      <c r="O1" s="989"/>
      <c r="P1" s="989"/>
      <c r="Q1" s="989"/>
      <c r="R1" s="989"/>
      <c r="S1" s="989"/>
      <c r="T1" s="989"/>
    </row>
    <row r="2" spans="1:20" ht="21" x14ac:dyDescent="0.35">
      <c r="A2" s="860" t="s">
        <v>626</v>
      </c>
      <c r="B2" s="2147" t="s">
        <v>2315</v>
      </c>
      <c r="C2" s="2148"/>
      <c r="D2" s="2148"/>
      <c r="E2" s="2148"/>
      <c r="F2" s="2148"/>
      <c r="G2" s="2148"/>
      <c r="H2" s="2148"/>
      <c r="I2" s="2148"/>
      <c r="J2" s="2148"/>
      <c r="K2" s="2149"/>
      <c r="L2" s="989"/>
      <c r="M2" s="989"/>
      <c r="N2" s="989"/>
      <c r="O2" s="989"/>
      <c r="P2" s="989"/>
      <c r="Q2" s="989"/>
      <c r="R2" s="989"/>
      <c r="S2" s="989"/>
      <c r="T2" s="989"/>
    </row>
    <row r="3" spans="1:20" x14ac:dyDescent="0.35">
      <c r="A3" s="860"/>
      <c r="B3" s="933"/>
      <c r="C3" s="934"/>
      <c r="D3" s="934"/>
      <c r="E3" s="934"/>
      <c r="F3" s="934"/>
      <c r="G3" s="934"/>
      <c r="H3" s="934"/>
      <c r="I3" s="934"/>
      <c r="J3" s="934"/>
      <c r="K3" s="935"/>
      <c r="L3" s="989"/>
      <c r="M3" s="989"/>
      <c r="N3" s="989"/>
      <c r="O3" s="989"/>
      <c r="P3" s="989"/>
      <c r="Q3" s="989"/>
      <c r="R3" s="989"/>
      <c r="S3" s="989"/>
      <c r="T3" s="989"/>
    </row>
    <row r="4" spans="1:20" x14ac:dyDescent="0.35">
      <c r="A4" s="860"/>
      <c r="B4" s="936" t="s">
        <v>2129</v>
      </c>
      <c r="C4" s="2136">
        <f>+Anagrafica!$C$6</f>
        <v>0</v>
      </c>
      <c r="D4" s="2136"/>
      <c r="E4" s="2136"/>
      <c r="F4" s="2136"/>
      <c r="G4" s="937" t="s">
        <v>2130</v>
      </c>
      <c r="H4" s="979">
        <f>+Anagrafica!$C$2</f>
        <v>0</v>
      </c>
      <c r="I4" s="979"/>
      <c r="J4" s="1004" t="s">
        <v>1</v>
      </c>
      <c r="K4" s="938" t="str">
        <f>+Anagrafica!$G$2</f>
        <v>Capo III</v>
      </c>
      <c r="L4" s="989"/>
      <c r="M4" s="989"/>
      <c r="N4" s="989"/>
      <c r="O4" s="989"/>
      <c r="P4" s="989"/>
      <c r="Q4" s="989"/>
      <c r="R4" s="989"/>
      <c r="S4" s="989"/>
      <c r="T4" s="989"/>
    </row>
    <row r="5" spans="1:20" x14ac:dyDescent="0.35">
      <c r="A5" s="860"/>
      <c r="B5" s="939"/>
      <c r="C5" s="860"/>
      <c r="D5" s="860"/>
      <c r="E5" s="860"/>
      <c r="F5" s="860"/>
      <c r="G5" s="860"/>
      <c r="H5" s="860"/>
      <c r="I5" s="860"/>
      <c r="J5" s="860"/>
      <c r="K5" s="940"/>
      <c r="L5" s="989"/>
      <c r="M5" s="989"/>
      <c r="N5" s="989"/>
      <c r="O5" s="989"/>
      <c r="P5" s="989"/>
      <c r="Q5" s="989"/>
      <c r="R5" s="989"/>
      <c r="S5" s="989"/>
      <c r="T5" s="989"/>
    </row>
    <row r="6" spans="1:20" x14ac:dyDescent="0.35">
      <c r="A6" s="860"/>
      <c r="B6" s="2150" t="s">
        <v>2189</v>
      </c>
      <c r="C6" s="2151"/>
      <c r="D6" s="2151"/>
      <c r="E6" s="2151"/>
      <c r="F6" s="2151"/>
      <c r="G6" s="2151"/>
      <c r="H6" s="2152" t="str">
        <f>+Anagrafica!C5</f>
        <v>Legale Rappresentante</v>
      </c>
      <c r="I6" s="2152"/>
      <c r="J6" s="2152"/>
      <c r="K6" s="2153"/>
      <c r="L6" s="989"/>
      <c r="M6" s="989"/>
      <c r="N6" s="989"/>
      <c r="O6" s="989"/>
      <c r="P6" s="989"/>
      <c r="Q6" s="989"/>
      <c r="R6" s="989"/>
      <c r="S6" s="989"/>
      <c r="T6" s="989"/>
    </row>
    <row r="7" spans="1:20" x14ac:dyDescent="0.35">
      <c r="A7" s="860"/>
      <c r="B7" s="939"/>
      <c r="C7" s="860"/>
      <c r="D7" s="860"/>
      <c r="E7" s="860"/>
      <c r="F7" s="860"/>
      <c r="G7" s="860"/>
      <c r="H7" s="860"/>
      <c r="I7" s="860"/>
      <c r="J7" s="860"/>
      <c r="K7" s="940"/>
      <c r="L7" s="989"/>
      <c r="M7" s="989"/>
      <c r="N7" s="989"/>
      <c r="O7" s="989"/>
      <c r="P7" s="989"/>
      <c r="Q7" s="989"/>
      <c r="R7" s="989"/>
      <c r="S7" s="989"/>
      <c r="T7" s="989"/>
    </row>
    <row r="8" spans="1:20" x14ac:dyDescent="0.35">
      <c r="A8" s="860"/>
      <c r="B8" s="2154" t="str">
        <f>+IF(OR(Anagrafica!C3="",Anagrafica!C4=""),"",CONCATENATE(Anagrafica!C3," codice fiscale ",Anagrafica!C4))</f>
        <v/>
      </c>
      <c r="C8" s="2152"/>
      <c r="D8" s="2152"/>
      <c r="E8" s="2152"/>
      <c r="F8" s="2152"/>
      <c r="G8" s="2152"/>
      <c r="H8" s="2152"/>
      <c r="I8" s="2152"/>
      <c r="J8" s="2152"/>
      <c r="K8" s="2153"/>
      <c r="L8" s="989"/>
      <c r="M8" s="989"/>
      <c r="N8" s="989"/>
      <c r="O8" s="989"/>
      <c r="P8" s="989"/>
      <c r="Q8" s="989"/>
      <c r="R8" s="989"/>
      <c r="S8" s="989"/>
      <c r="T8" s="989"/>
    </row>
    <row r="9" spans="1:20" x14ac:dyDescent="0.35">
      <c r="A9" s="860"/>
      <c r="B9" s="939"/>
      <c r="C9" s="860"/>
      <c r="D9" s="860"/>
      <c r="E9" s="860"/>
      <c r="F9" s="860"/>
      <c r="G9" s="860"/>
      <c r="H9" s="860"/>
      <c r="I9" s="860"/>
      <c r="J9" s="860"/>
      <c r="K9" s="940"/>
      <c r="L9" s="989"/>
      <c r="M9" s="989"/>
      <c r="N9" s="989"/>
      <c r="O9" s="989"/>
      <c r="P9" s="989"/>
      <c r="Q9" s="989"/>
      <c r="R9" s="989"/>
      <c r="S9" s="989"/>
      <c r="T9" s="989"/>
    </row>
    <row r="10" spans="1:20" x14ac:dyDescent="0.35">
      <c r="A10" s="860"/>
      <c r="B10" s="2155" t="s">
        <v>2132</v>
      </c>
      <c r="C10" s="2157" t="str">
        <f>+IF(OR(Anagrafica!C7="",Anagrafica!C8="",Anagrafica!H8=""),"",CONCATENATE(Anagrafica!C7," - ",Anagrafica!C8," (",Anagrafica!H8,")"))</f>
        <v/>
      </c>
      <c r="D10" s="2157"/>
      <c r="E10" s="2157"/>
      <c r="F10" s="2157"/>
      <c r="G10" s="2157"/>
      <c r="H10" s="2157"/>
      <c r="I10" s="2157"/>
      <c r="J10" s="2157"/>
      <c r="K10" s="2158"/>
      <c r="L10" s="989"/>
      <c r="M10" s="989"/>
      <c r="N10" s="989"/>
      <c r="O10" s="989"/>
      <c r="P10" s="989"/>
      <c r="Q10" s="989"/>
      <c r="R10" s="989"/>
      <c r="S10" s="989"/>
      <c r="T10" s="989"/>
    </row>
    <row r="11" spans="1:20" x14ac:dyDescent="0.35">
      <c r="A11" s="860"/>
      <c r="B11" s="2156"/>
      <c r="C11" s="2159"/>
      <c r="D11" s="2159"/>
      <c r="E11" s="2159"/>
      <c r="F11" s="2159"/>
      <c r="G11" s="2159"/>
      <c r="H11" s="2159"/>
      <c r="I11" s="2159"/>
      <c r="J11" s="2159"/>
      <c r="K11" s="2160"/>
      <c r="L11" s="989"/>
      <c r="M11" s="989"/>
      <c r="N11" s="989"/>
      <c r="O11" s="989"/>
      <c r="P11" s="989"/>
      <c r="Q11" s="989"/>
      <c r="R11" s="989"/>
      <c r="S11" s="989"/>
      <c r="T11" s="989"/>
    </row>
    <row r="12" spans="1:20" x14ac:dyDescent="0.35">
      <c r="A12" s="860"/>
      <c r="B12" s="941"/>
      <c r="C12" s="860"/>
      <c r="D12" s="860"/>
      <c r="E12" s="860"/>
      <c r="F12" s="860"/>
      <c r="G12" s="860"/>
      <c r="H12" s="860"/>
      <c r="I12" s="860"/>
      <c r="J12" s="860"/>
      <c r="K12" s="940"/>
      <c r="L12" s="989"/>
      <c r="M12" s="989"/>
      <c r="N12" s="989"/>
      <c r="O12" s="989"/>
      <c r="P12" s="989"/>
      <c r="Q12" s="989"/>
      <c r="R12" s="989"/>
      <c r="S12" s="989"/>
      <c r="T12" s="989"/>
    </row>
    <row r="13" spans="1:20" x14ac:dyDescent="0.35">
      <c r="A13" s="860"/>
      <c r="B13" s="936" t="s">
        <v>2049</v>
      </c>
      <c r="C13" s="2136">
        <f>+Anagrafica!C11</f>
        <v>0</v>
      </c>
      <c r="D13" s="2136"/>
      <c r="E13" s="860"/>
      <c r="F13" s="937" t="s">
        <v>2133</v>
      </c>
      <c r="G13" s="2136" t="str">
        <f>+IF(OR(Anagrafica!C12="",Anagrafica!E12=""),"",CONCATENATE(Anagrafica!E12," al N° ",Anagrafica!C12))</f>
        <v>Roma al N° 123456</v>
      </c>
      <c r="H13" s="2136"/>
      <c r="I13" s="2136"/>
      <c r="J13" s="2136"/>
      <c r="K13" s="2137"/>
      <c r="L13" s="989"/>
      <c r="M13" s="989"/>
      <c r="N13" s="989"/>
      <c r="O13" s="989"/>
      <c r="P13" s="989"/>
      <c r="Q13" s="989"/>
      <c r="R13" s="989"/>
      <c r="S13" s="989"/>
      <c r="T13" s="989"/>
    </row>
    <row r="14" spans="1:20" x14ac:dyDescent="0.35">
      <c r="A14" s="860"/>
      <c r="B14" s="941"/>
      <c r="C14" s="860"/>
      <c r="D14" s="860"/>
      <c r="E14" s="860"/>
      <c r="F14" s="860"/>
      <c r="G14" s="860"/>
      <c r="H14" s="860"/>
      <c r="I14" s="860"/>
      <c r="J14" s="860"/>
      <c r="K14" s="940"/>
      <c r="L14" s="989"/>
      <c r="M14" s="989"/>
      <c r="N14" s="989"/>
      <c r="O14" s="989"/>
      <c r="P14" s="989"/>
      <c r="Q14" s="989"/>
      <c r="R14" s="989"/>
      <c r="S14" s="989"/>
      <c r="T14" s="989"/>
    </row>
    <row r="15" spans="1:20" x14ac:dyDescent="0.35">
      <c r="A15" s="860"/>
      <c r="B15" s="936" t="s">
        <v>2048</v>
      </c>
      <c r="C15" s="2136" t="str">
        <f>+IF(Anagrafica!C9="","",Anagrafica!C9)</f>
        <v/>
      </c>
      <c r="D15" s="2136"/>
      <c r="E15" s="2136"/>
      <c r="F15" s="2136"/>
      <c r="G15" s="2136"/>
      <c r="H15" s="2136"/>
      <c r="I15" s="2136"/>
      <c r="J15" s="2136"/>
      <c r="K15" s="2137"/>
      <c r="L15" s="989"/>
      <c r="M15" s="989"/>
      <c r="N15" s="989"/>
      <c r="O15" s="989"/>
      <c r="P15" s="989"/>
      <c r="Q15" s="989"/>
      <c r="R15" s="989"/>
      <c r="S15" s="989"/>
      <c r="T15" s="989"/>
    </row>
    <row r="16" spans="1:20" ht="18.5" x14ac:dyDescent="0.35">
      <c r="A16" s="860"/>
      <c r="B16" s="2138" t="s">
        <v>2316</v>
      </c>
      <c r="C16" s="2139"/>
      <c r="D16" s="2139"/>
      <c r="E16" s="2139"/>
      <c r="F16" s="2139"/>
      <c r="G16" s="2139"/>
      <c r="H16" s="2139"/>
      <c r="I16" s="2139"/>
      <c r="J16" s="2139"/>
      <c r="K16" s="2140"/>
      <c r="L16" s="989"/>
      <c r="M16" s="989"/>
      <c r="N16" s="989"/>
      <c r="O16" s="989"/>
      <c r="P16" s="989"/>
      <c r="Q16" s="989"/>
      <c r="R16" s="989"/>
      <c r="S16" s="989"/>
      <c r="T16" s="989"/>
    </row>
    <row r="17" spans="1:20" x14ac:dyDescent="0.35">
      <c r="A17" s="860"/>
      <c r="B17" s="939" t="s">
        <v>2135</v>
      </c>
      <c r="C17" s="942" t="str">
        <f>+IF(F73=0,"",F73)</f>
        <v/>
      </c>
      <c r="D17" s="943" t="s">
        <v>2136</v>
      </c>
      <c r="E17" s="944" t="str">
        <f>+IFERROR(IF(C17="","",C17/K17),"")</f>
        <v/>
      </c>
      <c r="F17" s="860" t="s">
        <v>2191</v>
      </c>
      <c r="G17" s="860"/>
      <c r="H17" s="945"/>
      <c r="I17" s="945"/>
      <c r="J17" s="860"/>
      <c r="K17" s="946" t="str">
        <f>IF(Anagrafica!C38=0,"",Anagrafica!C30)</f>
        <v/>
      </c>
      <c r="L17" s="989"/>
      <c r="M17" s="989"/>
      <c r="N17" s="989"/>
      <c r="O17" s="989"/>
      <c r="P17" s="989"/>
      <c r="Q17" s="989"/>
      <c r="R17" s="989"/>
      <c r="S17" s="989"/>
      <c r="T17" s="989"/>
    </row>
    <row r="18" spans="1:20" x14ac:dyDescent="0.35">
      <c r="A18" s="860"/>
      <c r="B18" s="939" t="s">
        <v>2192</v>
      </c>
      <c r="C18" s="860"/>
      <c r="D18" s="860"/>
      <c r="E18" s="860"/>
      <c r="F18" s="860"/>
      <c r="G18" s="860"/>
      <c r="H18" s="860"/>
      <c r="I18" s="860"/>
      <c r="J18" s="860"/>
      <c r="K18" s="940"/>
      <c r="L18" s="989"/>
      <c r="M18" s="989"/>
      <c r="N18" s="989"/>
      <c r="O18" s="989"/>
      <c r="P18" s="989"/>
      <c r="Q18" s="989"/>
      <c r="R18" s="989"/>
      <c r="S18" s="989"/>
      <c r="T18" s="989"/>
    </row>
    <row r="19" spans="1:20" x14ac:dyDescent="0.35">
      <c r="A19" s="860"/>
      <c r="B19" s="947" t="s">
        <v>2193</v>
      </c>
      <c r="C19" s="948"/>
      <c r="D19" s="948"/>
      <c r="E19" s="949" t="str" cm="1">
        <f t="array" aca="1" ref="E19" ca="1">IFERROR(SUMIFS(Imponibilesalsaldo,Quietanzasal4,"SI"),"")</f>
        <v/>
      </c>
      <c r="F19" s="860"/>
      <c r="G19" s="860"/>
      <c r="H19" s="860"/>
      <c r="I19" s="860"/>
      <c r="J19" s="860"/>
      <c r="K19" s="940"/>
      <c r="L19" s="989"/>
      <c r="M19" s="989"/>
      <c r="N19" s="989"/>
      <c r="O19" s="989"/>
      <c r="P19" s="989"/>
      <c r="Q19" s="989"/>
      <c r="R19" s="989"/>
      <c r="S19" s="989"/>
      <c r="T19" s="989"/>
    </row>
    <row r="20" spans="1:20" x14ac:dyDescent="0.35">
      <c r="A20" s="860"/>
      <c r="B20" s="2144" t="str">
        <f>+CONCATENATE("La somma eventualmente erogata dovrà essere accreditata sul c/c bancario intestato alla Società istituito presso l'istituto di credito ",Anagrafica!C46," - Filiale/Agenzia ",+Anagrafica!C47)</f>
        <v>La somma eventualmente erogata dovrà essere accreditata sul c/c bancario intestato alla Società istituito presso l'istituto di credito BANCA SELLA - Filiale/Agenzia AGENZIA 30</v>
      </c>
      <c r="C20" s="2145"/>
      <c r="D20" s="2145"/>
      <c r="E20" s="2145"/>
      <c r="F20" s="2145"/>
      <c r="G20" s="2145"/>
      <c r="H20" s="2145"/>
      <c r="I20" s="2145"/>
      <c r="J20" s="2145"/>
      <c r="K20" s="2146"/>
      <c r="L20" s="989"/>
      <c r="M20" s="989"/>
      <c r="N20" s="989"/>
      <c r="O20" s="989"/>
      <c r="P20" s="989"/>
      <c r="Q20" s="989"/>
      <c r="R20" s="989"/>
      <c r="S20" s="989"/>
      <c r="T20" s="989"/>
    </row>
    <row r="21" spans="1:20" x14ac:dyDescent="0.35">
      <c r="A21" s="860"/>
      <c r="B21" s="2141" t="str">
        <f>+CONCATENATE("IBAN di riferimento - ",Anagrafica!C50,Anagrafica!D50,Anagrafica!E50,Anagrafica!F50,Anagrafica!G50,Anagrafica!H50)</f>
        <v>IBAN di riferimento - IT</v>
      </c>
      <c r="C21" s="2142"/>
      <c r="D21" s="2142"/>
      <c r="E21" s="2142"/>
      <c r="F21" s="2142"/>
      <c r="G21" s="2142"/>
      <c r="H21" s="2142"/>
      <c r="I21" s="2142"/>
      <c r="J21" s="2142"/>
      <c r="K21" s="2143"/>
      <c r="L21" s="989"/>
      <c r="M21" s="989"/>
      <c r="N21" s="989"/>
      <c r="O21" s="989"/>
      <c r="P21" s="989"/>
      <c r="Q21" s="989"/>
      <c r="R21" s="989"/>
      <c r="S21" s="989"/>
      <c r="T21" s="989"/>
    </row>
    <row r="22" spans="1:20" x14ac:dyDescent="0.35">
      <c r="A22" s="860"/>
      <c r="B22" s="2029" t="s">
        <v>2138</v>
      </c>
      <c r="C22" s="2030"/>
      <c r="D22" s="2030"/>
      <c r="E22" s="2030"/>
      <c r="F22" s="2030"/>
      <c r="G22" s="2030"/>
      <c r="H22" s="2030"/>
      <c r="I22" s="2030"/>
      <c r="J22" s="2030"/>
      <c r="K22" s="2031"/>
      <c r="L22" s="989"/>
      <c r="M22" s="989"/>
      <c r="N22" s="989"/>
      <c r="O22" s="989"/>
      <c r="P22" s="989"/>
      <c r="Q22" s="989"/>
      <c r="R22" s="989"/>
      <c r="S22" s="989"/>
      <c r="T22" s="989"/>
    </row>
    <row r="23" spans="1:20" x14ac:dyDescent="0.35">
      <c r="A23" s="860"/>
      <c r="B23" s="2029"/>
      <c r="C23" s="2030"/>
      <c r="D23" s="2030"/>
      <c r="E23" s="2030"/>
      <c r="F23" s="2030"/>
      <c r="G23" s="2030"/>
      <c r="H23" s="2030"/>
      <c r="I23" s="2030"/>
      <c r="J23" s="2030"/>
      <c r="K23" s="2031"/>
      <c r="L23" s="989"/>
      <c r="M23" s="989"/>
      <c r="N23" s="989"/>
      <c r="O23" s="989"/>
      <c r="P23" s="989"/>
      <c r="Q23" s="989"/>
      <c r="R23" s="989"/>
      <c r="S23" s="989"/>
      <c r="T23" s="989"/>
    </row>
    <row r="24" spans="1:20" ht="15" thickBot="1" x14ac:dyDescent="0.4">
      <c r="A24" s="860"/>
      <c r="B24" s="2032"/>
      <c r="C24" s="2033"/>
      <c r="D24" s="2033"/>
      <c r="E24" s="2033"/>
      <c r="F24" s="2033"/>
      <c r="G24" s="2033"/>
      <c r="H24" s="2033"/>
      <c r="I24" s="2033"/>
      <c r="J24" s="2033"/>
      <c r="K24" s="2034"/>
      <c r="L24" s="989"/>
      <c r="M24" s="989"/>
      <c r="N24" s="989"/>
      <c r="O24" s="989"/>
      <c r="P24" s="989"/>
      <c r="Q24" s="989"/>
      <c r="R24" s="989"/>
      <c r="S24" s="989"/>
      <c r="T24" s="989"/>
    </row>
    <row r="25" spans="1:20" ht="15" thickBot="1" x14ac:dyDescent="0.4">
      <c r="A25" s="860"/>
      <c r="B25" s="860"/>
      <c r="C25" s="860"/>
      <c r="D25" s="860"/>
      <c r="E25" s="860"/>
      <c r="F25" s="860"/>
      <c r="G25" s="860"/>
      <c r="H25" s="860"/>
      <c r="I25" s="860"/>
      <c r="J25" s="860"/>
      <c r="K25" s="860"/>
      <c r="L25" s="989"/>
      <c r="M25" s="989"/>
      <c r="N25" s="989"/>
      <c r="O25" s="989"/>
      <c r="P25" s="989"/>
      <c r="Q25" s="989"/>
      <c r="R25" s="989"/>
      <c r="S25" s="989"/>
      <c r="T25" s="989"/>
    </row>
    <row r="26" spans="1:20" ht="15" thickBot="1" x14ac:dyDescent="0.4">
      <c r="A26" s="860"/>
      <c r="B26" s="2196" t="s">
        <v>2195</v>
      </c>
      <c r="C26" s="1148" t="s">
        <v>564</v>
      </c>
      <c r="D26" s="1149" t="s">
        <v>2140</v>
      </c>
      <c r="E26" s="1149" t="s">
        <v>2141</v>
      </c>
      <c r="F26" s="1149" t="s">
        <v>2142</v>
      </c>
      <c r="G26" s="1149" t="s">
        <v>2143</v>
      </c>
      <c r="H26" s="1149" t="s">
        <v>2144</v>
      </c>
      <c r="I26" s="1150" t="s">
        <v>2145</v>
      </c>
      <c r="J26" s="1151" t="s">
        <v>2146</v>
      </c>
      <c r="K26" s="860"/>
      <c r="L26" s="989"/>
      <c r="M26" s="989"/>
      <c r="N26" s="989"/>
      <c r="O26" s="989"/>
      <c r="P26" s="989"/>
      <c r="Q26" s="989"/>
      <c r="R26" s="989"/>
      <c r="S26" s="989"/>
      <c r="T26" s="989"/>
    </row>
    <row r="27" spans="1:20" ht="15" thickBot="1" x14ac:dyDescent="0.4">
      <c r="A27" s="860"/>
      <c r="B27" s="2197"/>
      <c r="C27" s="899" t="s">
        <v>2080</v>
      </c>
      <c r="D27" s="900"/>
      <c r="E27" s="1163">
        <v>20</v>
      </c>
      <c r="F27" s="900"/>
      <c r="G27" s="900"/>
      <c r="H27" s="900" t="s">
        <v>2148</v>
      </c>
      <c r="I27" s="1141"/>
      <c r="J27" s="901"/>
      <c r="K27" s="860"/>
      <c r="L27" s="989"/>
      <c r="M27" s="989"/>
      <c r="N27" s="989"/>
      <c r="O27" s="989"/>
      <c r="P27" s="989"/>
      <c r="Q27" s="989"/>
      <c r="R27" s="989"/>
      <c r="S27" s="989"/>
      <c r="T27" s="989"/>
    </row>
    <row r="28" spans="1:20" ht="15" thickBot="1" x14ac:dyDescent="0.4">
      <c r="A28" s="860"/>
      <c r="B28" s="2198"/>
      <c r="C28" s="899" t="s">
        <v>2196</v>
      </c>
      <c r="D28" s="900"/>
      <c r="E28" s="1163">
        <v>20</v>
      </c>
      <c r="F28" s="900"/>
      <c r="G28" s="900"/>
      <c r="H28" s="900" t="s">
        <v>2148</v>
      </c>
      <c r="I28" s="1141"/>
      <c r="J28" s="901"/>
      <c r="K28" s="860"/>
      <c r="L28" s="989"/>
      <c r="M28" s="989"/>
      <c r="N28" s="989"/>
      <c r="O28" s="989"/>
      <c r="P28" s="989"/>
      <c r="Q28" s="989"/>
      <c r="R28" s="989"/>
      <c r="S28" s="989"/>
      <c r="T28" s="989"/>
    </row>
    <row r="29" spans="1:20" ht="15" thickBot="1" x14ac:dyDescent="0.4">
      <c r="A29" s="860"/>
      <c r="B29" s="860"/>
      <c r="C29" s="860"/>
      <c r="D29" s="860"/>
      <c r="E29" s="860"/>
      <c r="F29" s="860"/>
      <c r="G29" s="860"/>
      <c r="H29" s="860"/>
      <c r="I29" s="860"/>
      <c r="J29" s="860"/>
      <c r="K29" s="860"/>
      <c r="L29" s="989"/>
      <c r="M29" s="989"/>
      <c r="N29" s="989"/>
      <c r="O29" s="989"/>
      <c r="P29" s="989"/>
      <c r="Q29" s="989"/>
      <c r="R29" s="989"/>
      <c r="S29" s="989"/>
      <c r="T29" s="989"/>
    </row>
    <row r="30" spans="1:20" ht="15" thickBot="1" x14ac:dyDescent="0.4">
      <c r="A30" s="860"/>
      <c r="B30" s="2003" t="s">
        <v>2149</v>
      </c>
      <c r="C30" s="2004"/>
      <c r="D30" s="2004"/>
      <c r="E30" s="2004"/>
      <c r="F30" s="2004"/>
      <c r="G30" s="2004"/>
      <c r="H30" s="2004"/>
      <c r="I30" s="2005"/>
      <c r="J30" s="860"/>
      <c r="K30" s="860"/>
      <c r="L30" s="989"/>
      <c r="M30" s="989"/>
      <c r="N30" s="989"/>
      <c r="O30" s="989"/>
      <c r="P30" s="989"/>
      <c r="Q30" s="989"/>
      <c r="R30" s="989"/>
      <c r="S30" s="989"/>
      <c r="T30" s="989"/>
    </row>
    <row r="31" spans="1:20" ht="15" thickBot="1" x14ac:dyDescent="0.4">
      <c r="A31" s="860"/>
      <c r="B31" s="1985" t="s">
        <v>2150</v>
      </c>
      <c r="C31" s="1986"/>
      <c r="D31" s="1986"/>
      <c r="E31" s="1986"/>
      <c r="F31" s="1123" t="s">
        <v>2151</v>
      </c>
      <c r="G31" s="2000" t="s">
        <v>574</v>
      </c>
      <c r="H31" s="2001"/>
      <c r="I31" s="2002"/>
      <c r="J31" s="860"/>
      <c r="K31" s="860"/>
      <c r="L31" s="989"/>
      <c r="M31" s="989"/>
      <c r="N31" s="989"/>
      <c r="O31" s="989"/>
      <c r="P31" s="989"/>
      <c r="Q31" s="989"/>
      <c r="R31" s="989"/>
      <c r="S31" s="989"/>
      <c r="T31" s="989"/>
    </row>
    <row r="32" spans="1:20" x14ac:dyDescent="0.35">
      <c r="A32" s="860"/>
      <c r="B32" s="2006" t="str">
        <f>+IF(Anagrafica!$H$6="Società di capitali","ANT 1 - Dichiarazione e Certificato Antimafia Società","ANT 2- Dichiarazione e Certificato Antimafia Cooperative")</f>
        <v>ANT 2- Dichiarazione e Certificato Antimafia Cooperative</v>
      </c>
      <c r="C32" s="2007"/>
      <c r="D32" s="2007"/>
      <c r="E32" s="2008"/>
      <c r="F32" s="1127"/>
      <c r="G32" s="2009"/>
      <c r="H32" s="2010"/>
      <c r="I32" s="2011"/>
      <c r="J32" s="860"/>
      <c r="K32" s="860"/>
      <c r="L32" s="989"/>
      <c r="M32" s="989"/>
      <c r="N32" s="989"/>
      <c r="O32" s="989"/>
      <c r="P32" s="989"/>
      <c r="Q32" s="989"/>
      <c r="R32" s="989"/>
      <c r="S32" s="989"/>
      <c r="T32" s="989"/>
    </row>
    <row r="33" spans="1:20" ht="15" thickBot="1" x14ac:dyDescent="0.4">
      <c r="A33" s="860"/>
      <c r="B33" s="1991" t="s">
        <v>2152</v>
      </c>
      <c r="C33" s="1992"/>
      <c r="D33" s="1992"/>
      <c r="E33" s="1993"/>
      <c r="F33" s="1128"/>
      <c r="G33" s="1994"/>
      <c r="H33" s="1995"/>
      <c r="I33" s="1996"/>
      <c r="J33" s="860"/>
      <c r="K33" s="860"/>
      <c r="L33" s="989"/>
      <c r="M33" s="989"/>
      <c r="N33" s="989"/>
      <c r="O33" s="989"/>
      <c r="P33" s="989"/>
      <c r="Q33" s="989"/>
      <c r="R33" s="989"/>
      <c r="S33" s="989"/>
      <c r="T33" s="989"/>
    </row>
    <row r="34" spans="1:20" ht="15" thickBot="1" x14ac:dyDescent="0.4">
      <c r="A34" s="860"/>
      <c r="B34" s="1997" t="s">
        <v>2153</v>
      </c>
      <c r="C34" s="1998"/>
      <c r="D34" s="1998"/>
      <c r="E34" s="1998"/>
      <c r="F34" s="1998"/>
      <c r="G34" s="1998"/>
      <c r="H34" s="1998"/>
      <c r="I34" s="1999"/>
      <c r="J34" s="860"/>
      <c r="K34" s="860"/>
      <c r="L34" s="989"/>
      <c r="M34" s="989"/>
      <c r="N34" s="989"/>
      <c r="O34" s="989"/>
      <c r="P34" s="989"/>
      <c r="Q34" s="989"/>
      <c r="R34" s="989"/>
      <c r="S34" s="989"/>
      <c r="T34" s="989"/>
    </row>
    <row r="35" spans="1:20" x14ac:dyDescent="0.35">
      <c r="A35" s="860"/>
      <c r="B35" s="2119" t="s">
        <v>2154</v>
      </c>
      <c r="C35" s="2120"/>
      <c r="D35" s="2120"/>
      <c r="E35" s="2121"/>
      <c r="F35" s="1161" t="s">
        <v>2151</v>
      </c>
      <c r="G35" s="2122" t="s">
        <v>574</v>
      </c>
      <c r="H35" s="2123"/>
      <c r="I35" s="2124"/>
      <c r="J35" s="860"/>
      <c r="K35" s="860"/>
      <c r="L35" s="989"/>
      <c r="M35" s="989"/>
      <c r="N35" s="989"/>
      <c r="O35" s="989"/>
      <c r="P35" s="989"/>
      <c r="Q35" s="989"/>
      <c r="R35" s="989"/>
      <c r="S35" s="989"/>
      <c r="T35" s="989"/>
    </row>
    <row r="36" spans="1:20" ht="15" thickBot="1" x14ac:dyDescent="0.4">
      <c r="A36" s="860"/>
      <c r="B36" s="2125" t="s">
        <v>2080</v>
      </c>
      <c r="C36" s="2126"/>
      <c r="D36" s="2126"/>
      <c r="E36" s="2127"/>
      <c r="F36" s="1162"/>
      <c r="G36" s="2128"/>
      <c r="H36" s="2129"/>
      <c r="I36" s="2130"/>
      <c r="J36" s="860"/>
      <c r="K36" s="860"/>
      <c r="L36" s="989"/>
      <c r="M36" s="989"/>
      <c r="N36" s="989"/>
      <c r="O36" s="989"/>
      <c r="P36" s="989"/>
      <c r="Q36" s="989"/>
      <c r="R36" s="989"/>
      <c r="S36" s="989"/>
      <c r="T36" s="989"/>
    </row>
    <row r="37" spans="1:20" ht="15.75" customHeight="1" thickBot="1" x14ac:dyDescent="0.4">
      <c r="A37" s="860"/>
      <c r="B37" s="2131" t="s">
        <v>2197</v>
      </c>
      <c r="C37" s="2132"/>
      <c r="D37" s="2132"/>
      <c r="E37" s="2132"/>
      <c r="F37" s="1142"/>
      <c r="G37" s="1983"/>
      <c r="H37" s="1983"/>
      <c r="I37" s="1984"/>
      <c r="J37" s="860"/>
      <c r="K37" s="860"/>
      <c r="L37" s="989"/>
      <c r="M37" s="989"/>
      <c r="N37" s="989"/>
      <c r="O37" s="989"/>
      <c r="P37" s="989"/>
      <c r="Q37" s="989"/>
      <c r="R37" s="989"/>
      <c r="S37" s="989"/>
      <c r="T37" s="989"/>
    </row>
    <row r="38" spans="1:20" ht="15" thickBot="1" x14ac:dyDescent="0.4">
      <c r="A38" s="860"/>
      <c r="B38" s="1129" t="s">
        <v>2156</v>
      </c>
      <c r="C38" s="1130"/>
      <c r="D38" s="1130"/>
      <c r="E38" s="1130"/>
      <c r="F38" s="1130"/>
      <c r="G38" s="1130"/>
      <c r="H38" s="1130"/>
      <c r="I38" s="1131"/>
      <c r="J38" s="860"/>
      <c r="K38" s="860"/>
      <c r="L38" s="989"/>
      <c r="M38" s="989"/>
      <c r="N38" s="989"/>
      <c r="O38" s="989"/>
      <c r="P38" s="989"/>
      <c r="Q38" s="989"/>
      <c r="R38" s="989"/>
      <c r="S38" s="989"/>
      <c r="T38" s="989"/>
    </row>
    <row r="39" spans="1:20" ht="15" thickBot="1" x14ac:dyDescent="0.4">
      <c r="A39" s="860"/>
      <c r="B39" s="1985" t="s">
        <v>2157</v>
      </c>
      <c r="C39" s="1986"/>
      <c r="D39" s="1986"/>
      <c r="E39" s="1987"/>
      <c r="F39" s="1124" t="s">
        <v>2151</v>
      </c>
      <c r="G39" s="2000" t="s">
        <v>574</v>
      </c>
      <c r="H39" s="2001"/>
      <c r="I39" s="2002"/>
      <c r="J39" s="860"/>
      <c r="K39" s="860"/>
      <c r="L39" s="989"/>
      <c r="M39" s="989"/>
      <c r="N39" s="989"/>
      <c r="O39" s="989"/>
      <c r="P39" s="989"/>
      <c r="Q39" s="989"/>
      <c r="R39" s="989"/>
      <c r="S39" s="989"/>
      <c r="T39" s="989"/>
    </row>
    <row r="40" spans="1:20" x14ac:dyDescent="0.35">
      <c r="A40" s="860"/>
      <c r="B40" s="2012" t="s">
        <v>2158</v>
      </c>
      <c r="C40" s="2013"/>
      <c r="D40" s="2013"/>
      <c r="E40" s="2014"/>
      <c r="F40" s="1125"/>
      <c r="G40" s="2015"/>
      <c r="H40" s="2016"/>
      <c r="I40" s="2017"/>
      <c r="J40" s="860"/>
      <c r="K40" s="860"/>
      <c r="L40" s="989"/>
      <c r="M40" s="989"/>
      <c r="N40" s="989"/>
      <c r="O40" s="989"/>
      <c r="P40" s="989"/>
      <c r="Q40" s="989"/>
      <c r="R40" s="989"/>
      <c r="S40" s="989"/>
      <c r="T40" s="989"/>
    </row>
    <row r="41" spans="1:20" x14ac:dyDescent="0.35">
      <c r="A41" s="860"/>
      <c r="B41" s="2211" t="s">
        <v>2198</v>
      </c>
      <c r="C41" s="2212"/>
      <c r="D41" s="2212"/>
      <c r="E41" s="2213"/>
      <c r="F41" s="1126"/>
      <c r="G41" s="2214"/>
      <c r="H41" s="2215"/>
      <c r="I41" s="2216"/>
      <c r="J41" s="860"/>
      <c r="K41" s="860"/>
      <c r="L41" s="989"/>
      <c r="M41" s="989"/>
      <c r="N41" s="989"/>
      <c r="O41" s="989"/>
      <c r="P41" s="989"/>
      <c r="Q41" s="989"/>
      <c r="R41" s="989"/>
      <c r="S41" s="989"/>
      <c r="T41" s="989"/>
    </row>
    <row r="42" spans="1:20" x14ac:dyDescent="0.35">
      <c r="A42" s="860"/>
      <c r="B42" s="2211" t="s">
        <v>2159</v>
      </c>
      <c r="C42" s="2212"/>
      <c r="D42" s="2212"/>
      <c r="E42" s="2213"/>
      <c r="F42" s="1126"/>
      <c r="G42" s="2214"/>
      <c r="H42" s="2215"/>
      <c r="I42" s="2216"/>
      <c r="J42" s="860"/>
      <c r="K42" s="860"/>
      <c r="L42" s="989"/>
      <c r="M42" s="989"/>
      <c r="N42" s="989"/>
      <c r="O42" s="989"/>
      <c r="P42" s="989"/>
      <c r="Q42" s="989"/>
      <c r="R42" s="989"/>
      <c r="S42" s="989"/>
      <c r="T42" s="989"/>
    </row>
    <row r="43" spans="1:20" x14ac:dyDescent="0.35">
      <c r="A43" s="860"/>
      <c r="B43" s="2211" t="s">
        <v>2199</v>
      </c>
      <c r="C43" s="2212"/>
      <c r="D43" s="2212"/>
      <c r="E43" s="2213"/>
      <c r="F43" s="1126"/>
      <c r="G43" s="2214"/>
      <c r="H43" s="2215"/>
      <c r="I43" s="2216"/>
      <c r="J43" s="860"/>
      <c r="K43" s="860"/>
      <c r="L43" s="989"/>
      <c r="M43" s="989"/>
      <c r="N43" s="989"/>
      <c r="O43" s="989"/>
      <c r="P43" s="989"/>
      <c r="Q43" s="989"/>
      <c r="R43" s="989"/>
      <c r="S43" s="989"/>
      <c r="T43" s="989"/>
    </row>
    <row r="44" spans="1:20" x14ac:dyDescent="0.35">
      <c r="A44" s="860"/>
      <c r="B44" s="2211" t="s">
        <v>2200</v>
      </c>
      <c r="C44" s="2212"/>
      <c r="D44" s="2212"/>
      <c r="E44" s="2213"/>
      <c r="F44" s="1126"/>
      <c r="G44" s="2250"/>
      <c r="H44" s="2251"/>
      <c r="I44" s="2252"/>
      <c r="J44" s="860"/>
      <c r="K44" s="860"/>
      <c r="L44" s="989"/>
      <c r="M44" s="989"/>
      <c r="N44" s="989"/>
      <c r="O44" s="989"/>
      <c r="P44" s="989"/>
      <c r="Q44" s="989"/>
      <c r="R44" s="989"/>
      <c r="S44" s="989"/>
      <c r="T44" s="989"/>
    </row>
    <row r="45" spans="1:20" ht="15" thickBot="1" x14ac:dyDescent="0.4">
      <c r="A45" s="860"/>
      <c r="B45" s="2244" t="s">
        <v>2317</v>
      </c>
      <c r="C45" s="2245"/>
      <c r="D45" s="2245"/>
      <c r="E45" s="2246"/>
      <c r="F45" s="1238"/>
      <c r="G45" s="2247"/>
      <c r="H45" s="2248"/>
      <c r="I45" s="2249"/>
      <c r="J45" s="860"/>
      <c r="K45" s="860"/>
      <c r="L45" s="989"/>
      <c r="M45" s="989"/>
      <c r="N45" s="989"/>
      <c r="O45" s="989"/>
      <c r="P45" s="989"/>
      <c r="Q45" s="989"/>
      <c r="R45" s="989"/>
      <c r="S45" s="989"/>
      <c r="T45" s="989"/>
    </row>
    <row r="46" spans="1:20" ht="15" thickBot="1" x14ac:dyDescent="0.4">
      <c r="A46" s="860"/>
      <c r="B46" s="2003" t="s">
        <v>2160</v>
      </c>
      <c r="C46" s="2004"/>
      <c r="D46" s="2004"/>
      <c r="E46" s="2004"/>
      <c r="F46" s="2004"/>
      <c r="G46" s="2004"/>
      <c r="H46" s="2004"/>
      <c r="I46" s="2005"/>
      <c r="J46" s="860"/>
      <c r="K46" s="860"/>
      <c r="L46" s="989"/>
      <c r="M46" s="989"/>
      <c r="N46" s="989"/>
      <c r="O46" s="989"/>
      <c r="P46" s="989"/>
      <c r="Q46" s="989"/>
      <c r="R46" s="989"/>
      <c r="S46" s="989"/>
      <c r="T46" s="989"/>
    </row>
    <row r="47" spans="1:20" ht="15" thickBot="1" x14ac:dyDescent="0.4">
      <c r="A47" s="860"/>
      <c r="B47" s="1985" t="s">
        <v>2161</v>
      </c>
      <c r="C47" s="1986"/>
      <c r="D47" s="1986"/>
      <c r="E47" s="1987"/>
      <c r="F47" s="1124" t="s">
        <v>2151</v>
      </c>
      <c r="G47" s="2000" t="s">
        <v>574</v>
      </c>
      <c r="H47" s="2001"/>
      <c r="I47" s="2002"/>
      <c r="J47" s="860"/>
      <c r="K47" s="860"/>
      <c r="L47" s="989"/>
      <c r="M47" s="989"/>
      <c r="N47" s="989"/>
      <c r="O47" s="989"/>
      <c r="P47" s="989"/>
      <c r="Q47" s="989"/>
      <c r="R47" s="989"/>
      <c r="S47" s="989"/>
      <c r="T47" s="989"/>
    </row>
    <row r="48" spans="1:20" ht="35.15" customHeight="1" x14ac:dyDescent="0.35">
      <c r="A48" s="860"/>
      <c r="B48" s="2116" t="s">
        <v>2162</v>
      </c>
      <c r="C48" s="2117"/>
      <c r="D48" s="2117"/>
      <c r="E48" s="2118"/>
      <c r="F48" s="1136"/>
      <c r="G48" s="2241"/>
      <c r="H48" s="2242"/>
      <c r="I48" s="2243"/>
      <c r="J48" s="860"/>
      <c r="K48" s="860"/>
      <c r="L48" s="989"/>
      <c r="M48" s="989"/>
      <c r="N48" s="989"/>
      <c r="O48" s="989"/>
      <c r="P48" s="989"/>
      <c r="Q48" s="989"/>
      <c r="R48" s="989"/>
      <c r="S48" s="989"/>
      <c r="T48" s="989"/>
    </row>
    <row r="49" spans="1:20" ht="35.15" customHeight="1" x14ac:dyDescent="0.35">
      <c r="A49" s="860"/>
      <c r="B49" s="2110" t="s">
        <v>2201</v>
      </c>
      <c r="C49" s="2111"/>
      <c r="D49" s="2111"/>
      <c r="E49" s="2112"/>
      <c r="F49" s="1208"/>
      <c r="G49" s="2107"/>
      <c r="H49" s="2108"/>
      <c r="I49" s="2109"/>
      <c r="J49" s="860"/>
      <c r="K49" s="860"/>
      <c r="L49" s="989"/>
      <c r="M49" s="989"/>
      <c r="N49" s="989"/>
      <c r="O49" s="989"/>
      <c r="P49" s="989"/>
      <c r="Q49" s="989"/>
      <c r="R49" s="989"/>
      <c r="S49" s="989"/>
      <c r="T49" s="989"/>
    </row>
    <row r="50" spans="1:20" ht="35.15" customHeight="1" x14ac:dyDescent="0.35">
      <c r="A50" s="860"/>
      <c r="B50" s="2110" t="s">
        <v>2202</v>
      </c>
      <c r="C50" s="2111"/>
      <c r="D50" s="2111"/>
      <c r="E50" s="2112"/>
      <c r="F50" s="1208"/>
      <c r="G50" s="2107"/>
      <c r="H50" s="2108"/>
      <c r="I50" s="2109"/>
      <c r="J50" s="860"/>
      <c r="K50" s="860"/>
      <c r="L50" s="989"/>
      <c r="M50" s="989"/>
      <c r="N50" s="989"/>
      <c r="O50" s="989"/>
      <c r="P50" s="989"/>
      <c r="Q50" s="989"/>
      <c r="R50" s="989"/>
      <c r="S50" s="989"/>
      <c r="T50" s="989"/>
    </row>
    <row r="51" spans="1:20" ht="35.15" customHeight="1" x14ac:dyDescent="0.35">
      <c r="A51" s="860"/>
      <c r="B51" s="2110" t="s">
        <v>2203</v>
      </c>
      <c r="C51" s="2111"/>
      <c r="D51" s="2111"/>
      <c r="E51" s="2112"/>
      <c r="F51" s="1208"/>
      <c r="G51" s="2107"/>
      <c r="H51" s="2108"/>
      <c r="I51" s="2109"/>
      <c r="J51" s="860"/>
      <c r="K51" s="860"/>
      <c r="L51" s="989"/>
      <c r="M51" s="989"/>
      <c r="N51" s="989"/>
      <c r="O51" s="989"/>
      <c r="P51" s="989"/>
      <c r="Q51" s="989"/>
      <c r="R51" s="989"/>
      <c r="S51" s="989"/>
      <c r="T51" s="989"/>
    </row>
    <row r="52" spans="1:20" ht="35.15" customHeight="1" x14ac:dyDescent="0.35">
      <c r="A52" s="860"/>
      <c r="B52" s="2110" t="s">
        <v>2204</v>
      </c>
      <c r="C52" s="2111"/>
      <c r="D52" s="2111"/>
      <c r="E52" s="2112"/>
      <c r="F52" s="1208"/>
      <c r="G52" s="2107"/>
      <c r="H52" s="2108"/>
      <c r="I52" s="2109"/>
      <c r="J52" s="860"/>
      <c r="K52" s="860"/>
      <c r="L52" s="989"/>
      <c r="M52" s="989"/>
      <c r="N52" s="989"/>
      <c r="O52" s="989"/>
      <c r="P52" s="989"/>
      <c r="Q52" s="989"/>
      <c r="R52" s="989"/>
      <c r="S52" s="989"/>
      <c r="T52" s="989"/>
    </row>
    <row r="53" spans="1:20" ht="62.25" customHeight="1" x14ac:dyDescent="0.35">
      <c r="A53" s="860"/>
      <c r="B53" s="2110" t="s">
        <v>2205</v>
      </c>
      <c r="C53" s="2111"/>
      <c r="D53" s="2111"/>
      <c r="E53" s="2112"/>
      <c r="F53" s="1208"/>
      <c r="G53" s="2107"/>
      <c r="H53" s="2108"/>
      <c r="I53" s="2109"/>
      <c r="J53" s="860"/>
      <c r="K53" s="860"/>
      <c r="L53" s="989"/>
      <c r="M53" s="989"/>
      <c r="N53" s="989"/>
      <c r="O53" s="989"/>
      <c r="P53" s="989"/>
      <c r="Q53" s="989"/>
      <c r="R53" s="989"/>
      <c r="S53" s="989"/>
      <c r="T53" s="989"/>
    </row>
    <row r="54" spans="1:20" ht="56.25" customHeight="1" x14ac:dyDescent="0.35">
      <c r="A54" s="860"/>
      <c r="B54" s="2104" t="s">
        <v>2206</v>
      </c>
      <c r="C54" s="2105"/>
      <c r="D54" s="2105"/>
      <c r="E54" s="2106"/>
      <c r="F54" s="1137"/>
      <c r="G54" s="2107"/>
      <c r="H54" s="2108"/>
      <c r="I54" s="2109"/>
      <c r="J54" s="860"/>
      <c r="K54" s="860"/>
      <c r="L54" s="989"/>
      <c r="M54" s="989"/>
      <c r="N54" s="989"/>
      <c r="O54" s="989"/>
      <c r="P54" s="989"/>
      <c r="Q54" s="989"/>
      <c r="R54" s="989"/>
      <c r="S54" s="989"/>
      <c r="T54" s="989"/>
    </row>
    <row r="55" spans="1:20" ht="35.15" customHeight="1" x14ac:dyDescent="0.35">
      <c r="A55" s="860"/>
      <c r="B55" s="2104" t="s">
        <v>2207</v>
      </c>
      <c r="C55" s="2105"/>
      <c r="D55" s="2105"/>
      <c r="E55" s="2106"/>
      <c r="F55" s="1137"/>
      <c r="G55" s="2107"/>
      <c r="H55" s="2108"/>
      <c r="I55" s="2109"/>
      <c r="J55" s="860"/>
      <c r="K55" s="860"/>
      <c r="L55" s="989"/>
      <c r="M55" s="989"/>
      <c r="N55" s="989"/>
      <c r="O55" s="989"/>
      <c r="P55" s="989"/>
      <c r="Q55" s="989"/>
      <c r="R55" s="989"/>
      <c r="S55" s="989"/>
      <c r="T55" s="989"/>
    </row>
    <row r="56" spans="1:20" ht="35.15" customHeight="1" x14ac:dyDescent="0.35">
      <c r="A56" s="860"/>
      <c r="B56" s="2104" t="s">
        <v>2208</v>
      </c>
      <c r="C56" s="2105"/>
      <c r="D56" s="2105"/>
      <c r="E56" s="2106"/>
      <c r="F56" s="1137"/>
      <c r="G56" s="2107"/>
      <c r="H56" s="2108"/>
      <c r="I56" s="2109"/>
      <c r="J56" s="860"/>
      <c r="K56" s="860"/>
      <c r="L56" s="989"/>
      <c r="M56" s="989"/>
      <c r="N56" s="989"/>
      <c r="O56" s="989"/>
      <c r="P56" s="989"/>
      <c r="Q56" s="989"/>
      <c r="R56" s="989"/>
      <c r="S56" s="989"/>
      <c r="T56" s="989"/>
    </row>
    <row r="57" spans="1:20" ht="58.5" customHeight="1" x14ac:dyDescent="0.35">
      <c r="A57" s="860"/>
      <c r="B57" s="2113" t="s">
        <v>2209</v>
      </c>
      <c r="C57" s="2114"/>
      <c r="D57" s="2114"/>
      <c r="E57" s="2115"/>
      <c r="F57" s="1137"/>
      <c r="G57" s="2107"/>
      <c r="H57" s="2108"/>
      <c r="I57" s="2109"/>
      <c r="J57" s="860"/>
      <c r="K57" s="860"/>
      <c r="L57" s="989"/>
      <c r="M57" s="989"/>
      <c r="N57" s="989"/>
      <c r="O57" s="989"/>
      <c r="P57" s="989"/>
      <c r="Q57" s="989"/>
      <c r="R57" s="989"/>
      <c r="S57" s="989"/>
      <c r="T57" s="989"/>
    </row>
    <row r="58" spans="1:20" ht="84" customHeight="1" x14ac:dyDescent="0.35">
      <c r="A58" s="860"/>
      <c r="B58" s="2110" t="s">
        <v>2212</v>
      </c>
      <c r="C58" s="2111"/>
      <c r="D58" s="2111"/>
      <c r="E58" s="2112"/>
      <c r="F58" s="1137"/>
      <c r="G58" s="2107"/>
      <c r="H58" s="2108"/>
      <c r="I58" s="2109"/>
      <c r="J58" s="860"/>
      <c r="K58" s="860"/>
      <c r="L58" s="989"/>
      <c r="M58" s="989"/>
      <c r="N58" s="989"/>
      <c r="O58" s="989"/>
      <c r="P58" s="989"/>
      <c r="Q58" s="989"/>
      <c r="R58" s="989"/>
      <c r="S58" s="989"/>
      <c r="T58" s="989"/>
    </row>
    <row r="59" spans="1:20" ht="128.25" customHeight="1" x14ac:dyDescent="0.35">
      <c r="A59" s="860"/>
      <c r="B59" s="2110" t="s">
        <v>2270</v>
      </c>
      <c r="C59" s="2111"/>
      <c r="D59" s="2111"/>
      <c r="E59" s="2112"/>
      <c r="F59" s="1137"/>
      <c r="G59" s="2107"/>
      <c r="H59" s="2108"/>
      <c r="I59" s="2109"/>
      <c r="J59" s="860"/>
      <c r="K59" s="860"/>
      <c r="L59" s="989"/>
      <c r="M59" s="989"/>
      <c r="N59" s="989"/>
      <c r="O59" s="989"/>
      <c r="P59" s="989"/>
      <c r="Q59" s="989"/>
      <c r="R59" s="989"/>
      <c r="S59" s="989"/>
      <c r="T59" s="989"/>
    </row>
    <row r="60" spans="1:20" ht="58.5" customHeight="1" x14ac:dyDescent="0.35">
      <c r="A60" s="860"/>
      <c r="B60" s="2110" t="s">
        <v>2214</v>
      </c>
      <c r="C60" s="2111"/>
      <c r="D60" s="2111"/>
      <c r="E60" s="2112"/>
      <c r="F60" s="1137"/>
      <c r="G60" s="2107"/>
      <c r="H60" s="2108"/>
      <c r="I60" s="2109"/>
      <c r="J60" s="860"/>
      <c r="K60" s="860"/>
      <c r="L60" s="989"/>
      <c r="M60" s="989"/>
      <c r="N60" s="989"/>
      <c r="O60" s="989"/>
      <c r="P60" s="989"/>
      <c r="Q60" s="989"/>
      <c r="R60" s="989"/>
      <c r="S60" s="989"/>
      <c r="T60" s="989"/>
    </row>
    <row r="61" spans="1:20" ht="68.25" customHeight="1" thickBot="1" x14ac:dyDescent="0.4">
      <c r="A61" s="860"/>
      <c r="B61" s="2096" t="s">
        <v>2215</v>
      </c>
      <c r="C61" s="2097"/>
      <c r="D61" s="2097"/>
      <c r="E61" s="2098"/>
      <c r="F61" s="1207"/>
      <c r="G61" s="2099"/>
      <c r="H61" s="2100"/>
      <c r="I61" s="2101"/>
      <c r="J61" s="860"/>
      <c r="K61" s="860"/>
      <c r="L61" s="989"/>
      <c r="M61" s="989"/>
      <c r="N61" s="989"/>
      <c r="O61" s="989"/>
      <c r="P61" s="989"/>
      <c r="Q61" s="989"/>
      <c r="R61" s="989"/>
      <c r="S61" s="989"/>
      <c r="T61" s="989"/>
    </row>
    <row r="62" spans="1:20" x14ac:dyDescent="0.35">
      <c r="A62" s="860"/>
      <c r="B62" s="860"/>
      <c r="C62" s="860"/>
      <c r="D62" s="860"/>
      <c r="E62" s="860"/>
      <c r="F62" s="860"/>
      <c r="G62" s="860"/>
      <c r="H62" s="860"/>
      <c r="I62" s="860"/>
      <c r="J62" s="860"/>
      <c r="K62" s="860"/>
      <c r="L62" s="989"/>
      <c r="M62" s="989"/>
      <c r="N62" s="989"/>
      <c r="O62" s="989"/>
      <c r="P62" s="989"/>
      <c r="Q62" s="989"/>
      <c r="R62" s="989"/>
      <c r="S62" s="989"/>
      <c r="T62" s="989"/>
    </row>
    <row r="63" spans="1:20" ht="15" thickBot="1" x14ac:dyDescent="0.4">
      <c r="A63" s="860"/>
      <c r="B63" s="860"/>
      <c r="C63" s="860"/>
      <c r="D63" s="860"/>
      <c r="E63" s="860"/>
      <c r="F63" s="860"/>
      <c r="G63" s="860"/>
      <c r="H63" s="860"/>
      <c r="I63" s="860"/>
      <c r="J63" s="860"/>
      <c r="K63" s="860"/>
      <c r="L63" s="989"/>
      <c r="M63" s="989"/>
      <c r="N63" s="989"/>
      <c r="O63" s="989"/>
      <c r="P63" s="989"/>
      <c r="Q63" s="989"/>
      <c r="R63" s="989"/>
      <c r="S63" s="989"/>
      <c r="T63" s="989"/>
    </row>
    <row r="64" spans="1:20" ht="15" thickBot="1" x14ac:dyDescent="0.4">
      <c r="A64" s="860"/>
      <c r="B64" s="2163" t="s">
        <v>2308</v>
      </c>
      <c r="C64" s="2164"/>
      <c r="D64" s="2164"/>
      <c r="E64" s="2164"/>
      <c r="F64" s="2164"/>
      <c r="G64" s="2164"/>
      <c r="H64" s="2164"/>
      <c r="I64" s="2164"/>
      <c r="J64" s="2164"/>
      <c r="K64" s="2164"/>
      <c r="L64" s="2164"/>
      <c r="M64" s="2164"/>
      <c r="N64" s="2164"/>
      <c r="O64" s="2164"/>
      <c r="P64" s="2164"/>
      <c r="Q64" s="2164"/>
      <c r="R64" s="2164"/>
      <c r="S64" s="2164"/>
      <c r="T64" s="2165"/>
    </row>
    <row r="65" spans="1:20" x14ac:dyDescent="0.35">
      <c r="A65" s="860"/>
      <c r="B65" s="950" t="s">
        <v>2217</v>
      </c>
      <c r="C65" s="860"/>
      <c r="D65" s="860"/>
      <c r="E65" s="860"/>
      <c r="F65" s="860"/>
      <c r="G65" s="860"/>
      <c r="H65" s="860"/>
      <c r="I65" s="860"/>
      <c r="J65" s="860"/>
      <c r="K65" s="860"/>
      <c r="L65" s="989"/>
      <c r="M65" s="989"/>
      <c r="N65" s="989"/>
      <c r="O65" s="989"/>
      <c r="P65" s="989"/>
      <c r="Q65" s="989"/>
      <c r="R65" s="989"/>
      <c r="S65" s="989"/>
      <c r="T65" s="989"/>
    </row>
    <row r="66" spans="1:20" x14ac:dyDescent="0.35">
      <c r="A66" s="860"/>
      <c r="B66" s="951" t="e">
        <f>+CONCATENATE("Il valore minimo rendicontabile per è pari ad € ",TEXT(K17*0.1,"#.##0,00")," ed il valore delle fatture non quietanzate non può essere superiore ad € ",TEXT(K17*0.2,"#.##0,00"))</f>
        <v>#VALUE!</v>
      </c>
      <c r="C66" s="951"/>
      <c r="D66" s="951"/>
      <c r="E66" s="951"/>
      <c r="F66" s="951"/>
      <c r="G66" s="951"/>
      <c r="H66" s="951"/>
      <c r="I66" s="951"/>
      <c r="J66" s="951"/>
      <c r="K66" s="951"/>
      <c r="L66" s="989"/>
      <c r="M66" s="989"/>
      <c r="N66" s="989"/>
      <c r="O66" s="989"/>
      <c r="P66" s="989"/>
      <c r="Q66" s="989"/>
      <c r="R66" s="989"/>
      <c r="S66" s="989"/>
      <c r="T66" s="989"/>
    </row>
    <row r="67" spans="1:20" ht="15" thickBot="1" x14ac:dyDescent="0.4">
      <c r="A67" s="860"/>
      <c r="B67" s="950"/>
      <c r="C67" s="860"/>
      <c r="D67" s="860"/>
      <c r="E67" s="860"/>
      <c r="F67" s="860"/>
      <c r="G67" s="860"/>
      <c r="H67" s="860"/>
      <c r="I67" s="860"/>
      <c r="J67" s="860"/>
      <c r="K67" s="860"/>
      <c r="L67" s="989"/>
      <c r="M67" s="989"/>
      <c r="N67" s="989"/>
      <c r="O67" s="989"/>
      <c r="P67" s="989"/>
      <c r="Q67" s="989"/>
      <c r="R67" s="989"/>
      <c r="S67" s="989"/>
      <c r="T67" s="989"/>
    </row>
    <row r="68" spans="1:20" ht="23.5" thickBot="1" x14ac:dyDescent="0.4">
      <c r="A68" s="860"/>
      <c r="B68" s="993" t="s">
        <v>2218</v>
      </c>
      <c r="C68" s="952" t="s">
        <v>2219</v>
      </c>
      <c r="D68" s="952" t="s">
        <v>2220</v>
      </c>
      <c r="E68" s="952" t="s">
        <v>2221</v>
      </c>
      <c r="F68" s="952" t="s">
        <v>2222</v>
      </c>
      <c r="G68" s="952" t="s">
        <v>2223</v>
      </c>
      <c r="H68" s="974" t="s">
        <v>2224</v>
      </c>
      <c r="I68" s="994" t="s">
        <v>2067</v>
      </c>
      <c r="J68" s="952" t="s">
        <v>2226</v>
      </c>
      <c r="K68" s="974" t="s">
        <v>2069</v>
      </c>
      <c r="L68" s="974" t="s">
        <v>2227</v>
      </c>
      <c r="M68" s="974" t="s">
        <v>2228</v>
      </c>
      <c r="N68" s="974" t="s">
        <v>2229</v>
      </c>
      <c r="O68" s="974" t="s">
        <v>2230</v>
      </c>
      <c r="P68" s="974" t="s">
        <v>2231</v>
      </c>
      <c r="Q68" s="2180" t="s">
        <v>574</v>
      </c>
      <c r="R68" s="2181"/>
      <c r="S68" s="989"/>
      <c r="T68" s="989"/>
    </row>
    <row r="69" spans="1:20" ht="33.75" customHeight="1" x14ac:dyDescent="0.35">
      <c r="A69" s="860"/>
      <c r="B69" s="953"/>
      <c r="C69" s="954"/>
      <c r="D69" s="955"/>
      <c r="E69" s="954"/>
      <c r="F69" s="957"/>
      <c r="G69" s="956"/>
      <c r="H69" s="1020"/>
      <c r="I69" s="1059"/>
      <c r="J69" s="995"/>
      <c r="K69" s="985"/>
      <c r="L69" s="985"/>
      <c r="M69" s="985"/>
      <c r="N69" s="985"/>
      <c r="O69" s="985"/>
      <c r="P69" s="985"/>
      <c r="Q69" s="2188"/>
      <c r="R69" s="2189"/>
      <c r="S69" s="989"/>
      <c r="T69" s="989"/>
    </row>
    <row r="70" spans="1:20" ht="33.75" customHeight="1" x14ac:dyDescent="0.35">
      <c r="A70" s="860"/>
      <c r="B70" s="1005"/>
      <c r="C70" s="992"/>
      <c r="D70" s="1006"/>
      <c r="E70" s="992"/>
      <c r="F70" s="995"/>
      <c r="G70" s="1007"/>
      <c r="H70" s="1021"/>
      <c r="I70" s="1060"/>
      <c r="J70" s="995"/>
      <c r="K70" s="1008"/>
      <c r="L70" s="1008"/>
      <c r="M70" s="1008"/>
      <c r="N70" s="1008"/>
      <c r="O70" s="1008"/>
      <c r="P70" s="1008"/>
      <c r="Q70" s="2190"/>
      <c r="R70" s="2191"/>
      <c r="S70" s="989"/>
      <c r="T70" s="989"/>
    </row>
    <row r="71" spans="1:20" ht="33.75" customHeight="1" x14ac:dyDescent="0.35">
      <c r="A71" s="860"/>
      <c r="B71" s="1005"/>
      <c r="C71" s="992"/>
      <c r="D71" s="1006"/>
      <c r="E71" s="992"/>
      <c r="F71" s="995"/>
      <c r="G71" s="1007"/>
      <c r="H71" s="1021"/>
      <c r="I71" s="1060"/>
      <c r="J71" s="995"/>
      <c r="K71" s="1008"/>
      <c r="L71" s="1008"/>
      <c r="M71" s="1008"/>
      <c r="N71" s="1008"/>
      <c r="O71" s="1008"/>
      <c r="P71" s="1008"/>
      <c r="Q71" s="2190"/>
      <c r="R71" s="2191"/>
      <c r="S71" s="989"/>
      <c r="T71" s="989"/>
    </row>
    <row r="72" spans="1:20" ht="60.75" customHeight="1" thickBot="1" x14ac:dyDescent="0.4">
      <c r="A72" s="860"/>
      <c r="B72" s="1005"/>
      <c r="C72" s="992"/>
      <c r="D72" s="1006"/>
      <c r="E72" s="992"/>
      <c r="F72" s="995"/>
      <c r="G72" s="1007"/>
      <c r="H72" s="1021"/>
      <c r="I72" s="1060"/>
      <c r="J72" s="995"/>
      <c r="K72" s="1008"/>
      <c r="L72" s="1008"/>
      <c r="M72" s="1008"/>
      <c r="N72" s="1008"/>
      <c r="O72" s="1008"/>
      <c r="P72" s="1008"/>
      <c r="Q72" s="2192"/>
      <c r="R72" s="2193"/>
      <c r="S72" s="989"/>
      <c r="T72" s="989"/>
    </row>
    <row r="73" spans="1:20" ht="15" thickBot="1" x14ac:dyDescent="0.4">
      <c r="A73" s="860"/>
      <c r="B73" s="968"/>
      <c r="C73" s="969"/>
      <c r="D73" s="969"/>
      <c r="E73" s="981"/>
      <c r="F73" s="1029">
        <f>SUM(F69:F72)</f>
        <v>0</v>
      </c>
      <c r="G73" s="1029"/>
      <c r="H73" s="1030"/>
      <c r="I73" s="974"/>
      <c r="J73" s="1029">
        <f>+SUM(J69:J72)</f>
        <v>0</v>
      </c>
      <c r="K73" s="1030">
        <f>+SUM(K69:K72)</f>
        <v>0</v>
      </c>
      <c r="L73" s="991"/>
      <c r="M73" s="991"/>
      <c r="N73" s="991"/>
      <c r="O73" s="991"/>
      <c r="P73" s="991"/>
      <c r="Q73" s="2178"/>
      <c r="R73" s="2179"/>
      <c r="S73" s="989"/>
      <c r="T73" s="989"/>
    </row>
    <row r="74" spans="1:20" x14ac:dyDescent="0.35">
      <c r="A74" s="860"/>
      <c r="B74" s="860"/>
      <c r="C74" s="860"/>
      <c r="D74" s="860"/>
      <c r="E74" s="860"/>
      <c r="F74" s="860"/>
      <c r="G74" s="860"/>
      <c r="H74" s="860"/>
      <c r="I74" s="860"/>
      <c r="J74" s="860"/>
      <c r="K74" s="860"/>
      <c r="L74" s="989"/>
      <c r="M74" s="989"/>
      <c r="N74" s="989"/>
      <c r="O74" s="989"/>
      <c r="P74" s="989"/>
      <c r="Q74" s="989"/>
      <c r="R74" s="989"/>
      <c r="S74" s="989"/>
      <c r="T74" s="989"/>
    </row>
    <row r="75" spans="1:20" ht="15" thickBot="1" x14ac:dyDescent="0.4">
      <c r="A75" s="860"/>
      <c r="B75" s="998" t="s">
        <v>2232</v>
      </c>
      <c r="C75" s="860"/>
      <c r="D75" s="860"/>
      <c r="E75" s="860"/>
      <c r="F75" s="860"/>
      <c r="G75" s="860"/>
      <c r="H75" s="860"/>
      <c r="I75" s="860"/>
      <c r="J75" s="860"/>
      <c r="K75" s="860"/>
      <c r="L75" s="989"/>
      <c r="M75" s="989"/>
      <c r="N75" s="989"/>
      <c r="O75" s="989"/>
      <c r="P75" s="989"/>
      <c r="Q75" s="989"/>
      <c r="R75" s="989"/>
      <c r="S75" s="989"/>
      <c r="T75" s="989"/>
    </row>
    <row r="76" spans="1:20" x14ac:dyDescent="0.35">
      <c r="A76" s="860"/>
      <c r="B76" s="2169"/>
      <c r="C76" s="2170"/>
      <c r="D76" s="2170"/>
      <c r="E76" s="2170"/>
      <c r="F76" s="2170"/>
      <c r="G76" s="2170"/>
      <c r="H76" s="2170"/>
      <c r="I76" s="2170"/>
      <c r="J76" s="2170"/>
      <c r="K76" s="2170"/>
      <c r="L76" s="2170"/>
      <c r="M76" s="2170"/>
      <c r="N76" s="2170"/>
      <c r="O76" s="2170"/>
      <c r="P76" s="2170"/>
      <c r="Q76" s="2170"/>
      <c r="R76" s="2171"/>
      <c r="S76" s="989"/>
      <c r="T76" s="989"/>
    </row>
    <row r="77" spans="1:20" x14ac:dyDescent="0.35">
      <c r="A77" s="860"/>
      <c r="B77" s="2172"/>
      <c r="C77" s="2173"/>
      <c r="D77" s="2173"/>
      <c r="E77" s="2173"/>
      <c r="F77" s="2173"/>
      <c r="G77" s="2173"/>
      <c r="H77" s="2173"/>
      <c r="I77" s="2173"/>
      <c r="J77" s="2173"/>
      <c r="K77" s="2173"/>
      <c r="L77" s="2173"/>
      <c r="M77" s="2173"/>
      <c r="N77" s="2173"/>
      <c r="O77" s="2173"/>
      <c r="P77" s="2173"/>
      <c r="Q77" s="2173"/>
      <c r="R77" s="2174"/>
      <c r="S77" s="989"/>
      <c r="T77" s="989"/>
    </row>
    <row r="78" spans="1:20" x14ac:dyDescent="0.35">
      <c r="A78" s="860"/>
      <c r="B78" s="2172"/>
      <c r="C78" s="2173"/>
      <c r="D78" s="2173"/>
      <c r="E78" s="2173"/>
      <c r="F78" s="2173"/>
      <c r="G78" s="2173"/>
      <c r="H78" s="2173"/>
      <c r="I78" s="2173"/>
      <c r="J78" s="2173"/>
      <c r="K78" s="2173"/>
      <c r="L78" s="2173"/>
      <c r="M78" s="2173"/>
      <c r="N78" s="2173"/>
      <c r="O78" s="2173"/>
      <c r="P78" s="2173"/>
      <c r="Q78" s="2173"/>
      <c r="R78" s="2174"/>
      <c r="S78" s="989"/>
      <c r="T78" s="989"/>
    </row>
    <row r="79" spans="1:20" x14ac:dyDescent="0.35">
      <c r="A79" s="860"/>
      <c r="B79" s="2172"/>
      <c r="C79" s="2173"/>
      <c r="D79" s="2173"/>
      <c r="E79" s="2173"/>
      <c r="F79" s="2173"/>
      <c r="G79" s="2173"/>
      <c r="H79" s="2173"/>
      <c r="I79" s="2173"/>
      <c r="J79" s="2173"/>
      <c r="K79" s="2173"/>
      <c r="L79" s="2173"/>
      <c r="M79" s="2173"/>
      <c r="N79" s="2173"/>
      <c r="O79" s="2173"/>
      <c r="P79" s="2173"/>
      <c r="Q79" s="2173"/>
      <c r="R79" s="2174"/>
      <c r="S79" s="989"/>
      <c r="T79" s="989"/>
    </row>
    <row r="80" spans="1:20" ht="15" thickBot="1" x14ac:dyDescent="0.4">
      <c r="A80" s="860"/>
      <c r="B80" s="2166"/>
      <c r="C80" s="2167"/>
      <c r="D80" s="2167"/>
      <c r="E80" s="2167"/>
      <c r="F80" s="2167"/>
      <c r="G80" s="2167"/>
      <c r="H80" s="2167"/>
      <c r="I80" s="2167"/>
      <c r="J80" s="2167"/>
      <c r="K80" s="2167"/>
      <c r="L80" s="2167"/>
      <c r="M80" s="2167"/>
      <c r="N80" s="2167"/>
      <c r="O80" s="2167"/>
      <c r="P80" s="2167"/>
      <c r="Q80" s="2167"/>
      <c r="R80" s="2168"/>
      <c r="S80" s="989"/>
      <c r="T80" s="989"/>
    </row>
    <row r="81" spans="1:20" ht="15" thickBot="1" x14ac:dyDescent="0.4">
      <c r="A81" s="860"/>
      <c r="B81" s="860"/>
      <c r="C81" s="860"/>
      <c r="D81" s="860"/>
      <c r="E81" s="860"/>
      <c r="F81" s="860"/>
      <c r="G81" s="860"/>
      <c r="H81" s="860"/>
      <c r="I81" s="860"/>
      <c r="J81" s="860"/>
      <c r="K81" s="860"/>
      <c r="L81" s="989"/>
      <c r="M81" s="989"/>
      <c r="N81" s="989"/>
      <c r="O81" s="989"/>
      <c r="P81" s="989"/>
      <c r="Q81" s="989"/>
      <c r="R81" s="989"/>
      <c r="S81" s="989"/>
      <c r="T81" s="989"/>
    </row>
    <row r="82" spans="1:20" ht="15" thickBot="1" x14ac:dyDescent="0.4">
      <c r="A82" s="860"/>
      <c r="B82" s="970" t="s">
        <v>2233</v>
      </c>
      <c r="C82" s="971"/>
      <c r="D82" s="972"/>
      <c r="E82" s="973" t="s">
        <v>1563</v>
      </c>
      <c r="F82" s="1031" t="str">
        <f>+IF(AND(E82="Si",Anagrafica!$C$31=0),"Non è prevista la spesa per capitale circolante netto","")</f>
        <v/>
      </c>
      <c r="G82" s="860"/>
      <c r="H82" s="860"/>
      <c r="I82" s="860"/>
      <c r="J82" s="860"/>
      <c r="K82" s="860"/>
      <c r="L82" s="989"/>
      <c r="M82" s="989"/>
      <c r="N82" s="989"/>
      <c r="O82" s="989"/>
      <c r="P82" s="989"/>
      <c r="Q82" s="989"/>
      <c r="R82" s="989"/>
      <c r="S82" s="989"/>
      <c r="T82" s="989"/>
    </row>
    <row r="83" spans="1:20" x14ac:dyDescent="0.35">
      <c r="A83" s="860"/>
      <c r="B83" s="2175" t="s">
        <v>2234</v>
      </c>
      <c r="C83" s="2176"/>
      <c r="D83" s="2177"/>
      <c r="E83" s="1026"/>
      <c r="F83" s="860"/>
      <c r="G83" s="860"/>
      <c r="H83" s="860"/>
      <c r="I83" s="860"/>
      <c r="J83" s="860"/>
      <c r="K83" s="860"/>
      <c r="L83" s="989"/>
      <c r="M83" s="989"/>
      <c r="N83" s="989"/>
      <c r="O83" s="989"/>
      <c r="P83" s="989"/>
      <c r="Q83" s="989"/>
      <c r="R83" s="989"/>
      <c r="S83" s="989"/>
      <c r="T83" s="989"/>
    </row>
    <row r="84" spans="1:20" ht="15" thickBot="1" x14ac:dyDescent="0.4">
      <c r="A84" s="860"/>
      <c r="B84" s="2175" t="s">
        <v>2235</v>
      </c>
      <c r="C84" s="2176"/>
      <c r="D84" s="2177"/>
      <c r="E84" s="1120">
        <f>+IF($E$82="NO",0,IF(E83&lt;=K73*0.2,E83,(E83/F73)*K73))</f>
        <v>0</v>
      </c>
      <c r="F84" s="860"/>
      <c r="G84" s="860"/>
      <c r="H84" s="860"/>
      <c r="I84" s="860"/>
      <c r="J84" s="860"/>
      <c r="K84" s="860"/>
      <c r="L84" s="989"/>
      <c r="M84" s="989"/>
      <c r="N84" s="989"/>
      <c r="O84" s="989"/>
      <c r="P84" s="989"/>
      <c r="Q84" s="989"/>
      <c r="R84" s="989"/>
      <c r="S84" s="989"/>
      <c r="T84" s="989"/>
    </row>
    <row r="85" spans="1:20" x14ac:dyDescent="0.35">
      <c r="A85" s="860"/>
      <c r="B85" s="860"/>
      <c r="C85" s="860"/>
      <c r="D85" s="860"/>
      <c r="E85" s="860"/>
      <c r="F85" s="860"/>
      <c r="G85" s="860"/>
      <c r="H85" s="860"/>
      <c r="I85" s="860"/>
      <c r="J85" s="860"/>
      <c r="K85" s="989"/>
      <c r="L85" s="989"/>
      <c r="M85" s="989"/>
      <c r="N85" s="989"/>
      <c r="O85" s="989"/>
      <c r="P85" s="989"/>
      <c r="Q85" s="989"/>
      <c r="R85" s="989"/>
      <c r="S85" s="989"/>
      <c r="T85" s="989"/>
    </row>
    <row r="86" spans="1:20" ht="15" thickBot="1" x14ac:dyDescent="0.4">
      <c r="A86" s="860"/>
      <c r="B86" s="950" t="s">
        <v>2236</v>
      </c>
      <c r="C86" s="860"/>
      <c r="D86" s="860"/>
      <c r="E86" s="860"/>
      <c r="F86" s="860"/>
      <c r="G86" s="860"/>
      <c r="H86" s="860"/>
      <c r="I86" s="860"/>
      <c r="J86" s="860"/>
      <c r="K86" s="989"/>
      <c r="L86" s="989"/>
      <c r="M86" s="989"/>
      <c r="N86" s="989"/>
      <c r="O86" s="989"/>
      <c r="P86" s="989"/>
      <c r="Q86" s="989"/>
      <c r="R86" s="989"/>
      <c r="S86" s="989"/>
      <c r="T86" s="989"/>
    </row>
    <row r="87" spans="1:20" ht="23.5" thickBot="1" x14ac:dyDescent="0.4">
      <c r="A87" s="860"/>
      <c r="B87" s="993" t="s">
        <v>2218</v>
      </c>
      <c r="C87" s="952" t="s">
        <v>2219</v>
      </c>
      <c r="D87" s="952" t="s">
        <v>2220</v>
      </c>
      <c r="E87" s="974" t="s">
        <v>2237</v>
      </c>
      <c r="F87" s="952" t="s">
        <v>2238</v>
      </c>
      <c r="G87" s="974" t="s">
        <v>2239</v>
      </c>
      <c r="H87" s="974" t="s">
        <v>2240</v>
      </c>
      <c r="I87" s="974" t="s">
        <v>2241</v>
      </c>
      <c r="J87" s="2180" t="s">
        <v>574</v>
      </c>
      <c r="K87" s="2181"/>
      <c r="L87" s="989"/>
      <c r="M87" s="989"/>
      <c r="N87" s="989"/>
      <c r="O87" s="989"/>
      <c r="P87" s="989"/>
      <c r="Q87" s="989"/>
      <c r="R87" s="989"/>
      <c r="S87" s="989"/>
      <c r="T87" s="989"/>
    </row>
    <row r="88" spans="1:20" x14ac:dyDescent="0.35">
      <c r="A88" s="860"/>
      <c r="B88" s="953"/>
      <c r="C88" s="954"/>
      <c r="D88" s="955"/>
      <c r="E88" s="975"/>
      <c r="F88" s="954"/>
      <c r="G88" s="980"/>
      <c r="H88" s="980"/>
      <c r="I88" s="980"/>
      <c r="J88" s="2182"/>
      <c r="K88" s="2183"/>
      <c r="L88" s="989"/>
      <c r="M88" s="989"/>
      <c r="N88" s="989"/>
      <c r="O88" s="989"/>
      <c r="P88" s="989"/>
      <c r="Q88" s="989"/>
      <c r="R88" s="989"/>
      <c r="S88" s="989"/>
      <c r="T88" s="989"/>
    </row>
    <row r="89" spans="1:20" x14ac:dyDescent="0.35">
      <c r="A89" s="860"/>
      <c r="B89" s="958"/>
      <c r="C89" s="959"/>
      <c r="D89" s="960"/>
      <c r="E89" s="976"/>
      <c r="F89" s="992"/>
      <c r="G89" s="959"/>
      <c r="H89" s="959"/>
      <c r="I89" s="959"/>
      <c r="J89" s="2184"/>
      <c r="K89" s="2185"/>
      <c r="L89" s="989"/>
      <c r="M89" s="989"/>
      <c r="N89" s="989"/>
      <c r="O89" s="989"/>
      <c r="P89" s="989"/>
      <c r="Q89" s="989"/>
      <c r="R89" s="989"/>
      <c r="S89" s="989"/>
      <c r="T89" s="989"/>
    </row>
    <row r="90" spans="1:20" ht="15" thickBot="1" x14ac:dyDescent="0.4">
      <c r="A90" s="860"/>
      <c r="B90" s="963"/>
      <c r="C90" s="964"/>
      <c r="D90" s="965"/>
      <c r="E90" s="977"/>
      <c r="F90" s="964"/>
      <c r="G90" s="984"/>
      <c r="H90" s="984"/>
      <c r="I90" s="984"/>
      <c r="J90" s="2186"/>
      <c r="K90" s="2187"/>
      <c r="L90" s="989"/>
      <c r="M90" s="989"/>
      <c r="N90" s="989"/>
      <c r="O90" s="989"/>
      <c r="P90" s="989"/>
      <c r="Q90" s="989"/>
      <c r="R90" s="989"/>
      <c r="S90" s="989"/>
      <c r="T90" s="989"/>
    </row>
    <row r="91" spans="1:20" ht="15" thickBot="1" x14ac:dyDescent="0.4">
      <c r="A91" s="860"/>
      <c r="B91" s="968"/>
      <c r="C91" s="969"/>
      <c r="D91" s="981"/>
      <c r="E91" s="982">
        <f>SUM(E88:E90)</f>
        <v>0</v>
      </c>
      <c r="F91" s="983"/>
      <c r="G91" s="981"/>
      <c r="H91" s="981"/>
      <c r="I91" s="981"/>
      <c r="J91" s="2180"/>
      <c r="K91" s="2181"/>
      <c r="L91" s="989"/>
      <c r="M91" s="989"/>
      <c r="N91" s="989"/>
      <c r="O91" s="989"/>
      <c r="P91" s="989"/>
      <c r="Q91" s="989"/>
      <c r="R91" s="989"/>
      <c r="S91" s="989"/>
      <c r="T91" s="989"/>
    </row>
    <row r="92" spans="1:20" x14ac:dyDescent="0.35">
      <c r="A92" s="860"/>
      <c r="B92" s="860"/>
      <c r="C92" s="860"/>
      <c r="D92" s="860"/>
      <c r="E92" s="860"/>
      <c r="F92" s="860"/>
      <c r="G92" s="860"/>
      <c r="H92" s="860"/>
      <c r="I92" s="860"/>
      <c r="J92" s="860"/>
      <c r="K92" s="860"/>
      <c r="L92" s="989"/>
      <c r="M92" s="989"/>
      <c r="N92" s="989"/>
      <c r="O92" s="989"/>
      <c r="P92" s="989"/>
      <c r="Q92" s="989"/>
      <c r="R92" s="989"/>
      <c r="S92" s="989"/>
      <c r="T92" s="989"/>
    </row>
    <row r="93" spans="1:20" ht="15" thickBot="1" x14ac:dyDescent="0.4">
      <c r="A93" s="860"/>
      <c r="B93" s="998" t="s">
        <v>2232</v>
      </c>
      <c r="C93" s="860"/>
      <c r="D93" s="860"/>
      <c r="E93" s="860"/>
      <c r="F93" s="860"/>
      <c r="G93" s="860"/>
      <c r="H93" s="860"/>
      <c r="I93" s="860"/>
      <c r="J93" s="860"/>
      <c r="K93" s="860"/>
      <c r="L93" s="989"/>
      <c r="M93" s="989"/>
      <c r="N93" s="989"/>
      <c r="O93" s="989"/>
      <c r="P93" s="989"/>
      <c r="Q93" s="989"/>
      <c r="R93" s="989"/>
      <c r="S93" s="989"/>
      <c r="T93" s="989"/>
    </row>
    <row r="94" spans="1:20" x14ac:dyDescent="0.35">
      <c r="A94" s="860"/>
      <c r="B94" s="2169"/>
      <c r="C94" s="2170"/>
      <c r="D94" s="2170"/>
      <c r="E94" s="2170"/>
      <c r="F94" s="2170"/>
      <c r="G94" s="2170"/>
      <c r="H94" s="2170"/>
      <c r="I94" s="2170"/>
      <c r="J94" s="2170"/>
      <c r="K94" s="2171"/>
      <c r="L94" s="989"/>
      <c r="M94" s="989"/>
      <c r="N94" s="989"/>
      <c r="O94" s="989"/>
      <c r="P94" s="989"/>
      <c r="Q94" s="989"/>
      <c r="R94" s="989"/>
      <c r="S94" s="989"/>
      <c r="T94" s="989"/>
    </row>
    <row r="95" spans="1:20" x14ac:dyDescent="0.35">
      <c r="A95" s="860"/>
      <c r="B95" s="2172"/>
      <c r="C95" s="2173"/>
      <c r="D95" s="2173"/>
      <c r="E95" s="2173"/>
      <c r="F95" s="2173"/>
      <c r="G95" s="2173"/>
      <c r="H95" s="2173"/>
      <c r="I95" s="2173"/>
      <c r="J95" s="2173"/>
      <c r="K95" s="2174"/>
      <c r="L95" s="989"/>
      <c r="M95" s="989"/>
      <c r="N95" s="989"/>
      <c r="O95" s="989"/>
      <c r="P95" s="989"/>
      <c r="Q95" s="989"/>
      <c r="R95" s="989"/>
      <c r="S95" s="989"/>
      <c r="T95" s="989"/>
    </row>
    <row r="96" spans="1:20" x14ac:dyDescent="0.35">
      <c r="A96" s="860"/>
      <c r="B96" s="2172"/>
      <c r="C96" s="2173"/>
      <c r="D96" s="2173"/>
      <c r="E96" s="2173"/>
      <c r="F96" s="2173"/>
      <c r="G96" s="2173"/>
      <c r="H96" s="2173"/>
      <c r="I96" s="2173"/>
      <c r="J96" s="2173"/>
      <c r="K96" s="2174"/>
      <c r="L96" s="989"/>
      <c r="M96" s="989"/>
      <c r="N96" s="989"/>
      <c r="O96" s="989"/>
      <c r="P96" s="989"/>
      <c r="Q96" s="989"/>
      <c r="R96" s="989"/>
      <c r="S96" s="989"/>
      <c r="T96" s="989"/>
    </row>
    <row r="97" spans="1:20" ht="15" thickBot="1" x14ac:dyDescent="0.4">
      <c r="A97" s="860"/>
      <c r="B97" s="2166"/>
      <c r="C97" s="2167"/>
      <c r="D97" s="2167"/>
      <c r="E97" s="2167"/>
      <c r="F97" s="2167"/>
      <c r="G97" s="2167"/>
      <c r="H97" s="2167"/>
      <c r="I97" s="2167"/>
      <c r="J97" s="2167"/>
      <c r="K97" s="2168"/>
      <c r="L97" s="989"/>
      <c r="M97" s="989"/>
      <c r="N97" s="989"/>
      <c r="O97" s="989"/>
      <c r="P97" s="989"/>
      <c r="Q97" s="989"/>
      <c r="R97" s="989"/>
      <c r="S97" s="989"/>
      <c r="T97" s="989"/>
    </row>
    <row r="98" spans="1:20" x14ac:dyDescent="0.35">
      <c r="A98" s="860"/>
      <c r="B98" s="978" t="s">
        <v>2242</v>
      </c>
      <c r="C98" s="860"/>
      <c r="D98" s="860"/>
      <c r="E98" s="860"/>
      <c r="F98" s="860"/>
      <c r="G98" s="860"/>
      <c r="H98" s="860"/>
      <c r="I98" s="860"/>
      <c r="J98" s="860"/>
      <c r="K98" s="860"/>
      <c r="L98" s="989"/>
      <c r="M98" s="989"/>
      <c r="N98" s="989"/>
      <c r="O98" s="989"/>
      <c r="P98" s="989"/>
      <c r="Q98" s="989"/>
      <c r="R98" s="989"/>
      <c r="S98" s="989"/>
      <c r="T98" s="989"/>
    </row>
    <row r="99" spans="1:20" x14ac:dyDescent="0.35">
      <c r="A99" s="860"/>
      <c r="B99" s="978"/>
      <c r="C99" s="860"/>
      <c r="D99" s="860"/>
      <c r="E99" s="860"/>
      <c r="F99" s="860"/>
      <c r="G99" s="860"/>
      <c r="H99" s="860"/>
      <c r="I99" s="860"/>
      <c r="J99" s="860"/>
      <c r="K99" s="860"/>
      <c r="L99" s="989"/>
      <c r="M99" s="989"/>
      <c r="N99" s="989"/>
      <c r="O99" s="989"/>
      <c r="P99" s="989"/>
      <c r="Q99" s="989"/>
      <c r="R99" s="989"/>
      <c r="S99" s="989"/>
      <c r="T99" s="989"/>
    </row>
    <row r="100" spans="1:20" x14ac:dyDescent="0.35">
      <c r="A100" s="860"/>
      <c r="B100" s="950" t="s">
        <v>2271</v>
      </c>
      <c r="C100" s="860"/>
      <c r="D100" s="860"/>
      <c r="E100" s="860"/>
      <c r="F100" s="860"/>
      <c r="G100" s="860"/>
      <c r="H100" s="860"/>
      <c r="I100" s="860"/>
      <c r="J100" s="860"/>
      <c r="K100" s="860"/>
      <c r="L100" s="989"/>
      <c r="M100" s="989"/>
      <c r="N100" s="989"/>
      <c r="O100" s="989"/>
      <c r="P100" s="989"/>
      <c r="Q100" s="989"/>
      <c r="R100" s="989"/>
      <c r="S100" s="989"/>
      <c r="T100" s="989"/>
    </row>
    <row r="101" spans="1:20" x14ac:dyDescent="0.35">
      <c r="A101" s="860"/>
      <c r="B101" s="2229" t="e" cm="1">
        <f t="array" aca="1" ref="B101" ca="1">+CONCATENATE("Evidenza dell'avvenuto pagamento delle fatture rendicontate nel precedente SAL pari ad €  ",IF(Anagrafica!$C$26&lt;&gt;"Unico",TEXT(INDIRECT(_xlfn.CONCAT("'",LEFT(Anagrafica!$C$26,1)," ","SAL'!E20")),"#.###0,00"),0),"")</f>
        <v>#REF!</v>
      </c>
      <c r="C101" s="2230"/>
      <c r="D101" s="2230"/>
      <c r="E101" s="2230"/>
      <c r="F101" s="2230"/>
      <c r="G101" s="2230"/>
      <c r="H101" s="2230"/>
      <c r="I101" s="2230"/>
      <c r="J101" s="2230"/>
      <c r="K101" s="2230"/>
      <c r="L101" s="2230"/>
      <c r="M101" s="2230"/>
      <c r="N101" s="2230"/>
      <c r="O101" s="2230"/>
      <c r="P101" s="2230"/>
      <c r="Q101" s="2230"/>
      <c r="R101" s="2230"/>
      <c r="S101" s="2230"/>
      <c r="T101" s="2230"/>
    </row>
    <row r="102" spans="1:20" ht="15" thickBot="1" x14ac:dyDescent="0.4">
      <c r="A102" s="860"/>
      <c r="B102" s="860"/>
      <c r="C102" s="860"/>
      <c r="D102" s="860"/>
      <c r="E102" s="860"/>
      <c r="F102" s="860"/>
      <c r="G102" s="860"/>
      <c r="H102" s="860"/>
      <c r="I102" s="860"/>
      <c r="J102" s="860"/>
      <c r="K102" s="860"/>
      <c r="L102" s="989"/>
      <c r="M102" s="989"/>
      <c r="N102" s="989"/>
      <c r="O102" s="989"/>
      <c r="P102" s="989"/>
      <c r="Q102" s="989"/>
      <c r="R102" s="989"/>
      <c r="S102" s="989"/>
      <c r="T102" s="989"/>
    </row>
    <row r="103" spans="1:20" ht="23.5" thickBot="1" x14ac:dyDescent="0.4">
      <c r="A103" s="860"/>
      <c r="B103" s="993" t="s">
        <v>2218</v>
      </c>
      <c r="C103" s="952" t="s">
        <v>2219</v>
      </c>
      <c r="D103" s="952" t="s">
        <v>2220</v>
      </c>
      <c r="E103" s="974" t="s">
        <v>2237</v>
      </c>
      <c r="F103" s="952" t="s">
        <v>2238</v>
      </c>
      <c r="G103" s="952" t="s">
        <v>2239</v>
      </c>
      <c r="H103" s="1045" t="s">
        <v>2240</v>
      </c>
      <c r="I103" s="974" t="s">
        <v>2241</v>
      </c>
      <c r="J103" s="952" t="s">
        <v>2262</v>
      </c>
      <c r="K103" s="997" t="s">
        <v>574</v>
      </c>
      <c r="L103" s="989"/>
      <c r="M103" s="989"/>
      <c r="N103" s="989"/>
      <c r="O103" s="989"/>
      <c r="P103" s="989"/>
      <c r="Q103" s="989"/>
      <c r="R103" s="989"/>
      <c r="S103" s="989"/>
      <c r="T103" s="989"/>
    </row>
    <row r="104" spans="1:20" x14ac:dyDescent="0.35">
      <c r="A104" s="860"/>
      <c r="B104" s="953"/>
      <c r="C104" s="954"/>
      <c r="D104" s="1036"/>
      <c r="E104" s="1037"/>
      <c r="F104" s="1038"/>
      <c r="G104" s="1050"/>
      <c r="H104" s="1046"/>
      <c r="I104" s="980"/>
      <c r="J104" s="980"/>
      <c r="K104" s="1055"/>
      <c r="L104" s="989"/>
      <c r="M104" s="989"/>
      <c r="N104" s="989"/>
      <c r="O104" s="989"/>
      <c r="P104" s="989"/>
      <c r="Q104" s="989"/>
      <c r="R104" s="989"/>
      <c r="S104" s="989"/>
      <c r="T104" s="989"/>
    </row>
    <row r="105" spans="1:20" x14ac:dyDescent="0.35">
      <c r="A105" s="860"/>
      <c r="B105" s="958"/>
      <c r="C105" s="959"/>
      <c r="D105" s="1041"/>
      <c r="E105" s="1042"/>
      <c r="F105" s="1043"/>
      <c r="G105" s="1051"/>
      <c r="H105" s="1047"/>
      <c r="I105" s="959"/>
      <c r="J105" s="959"/>
      <c r="K105" s="1056"/>
      <c r="L105" s="989"/>
      <c r="M105" s="989"/>
      <c r="N105" s="989"/>
      <c r="O105" s="989"/>
      <c r="P105" s="989"/>
      <c r="Q105" s="989"/>
      <c r="R105" s="989"/>
      <c r="S105" s="989"/>
      <c r="T105" s="989"/>
    </row>
    <row r="106" spans="1:20" ht="15" thickBot="1" x14ac:dyDescent="0.4">
      <c r="A106" s="860"/>
      <c r="B106" s="963"/>
      <c r="C106" s="964"/>
      <c r="D106" s="1041"/>
      <c r="E106" s="1044"/>
      <c r="F106" s="964"/>
      <c r="G106" s="1052"/>
      <c r="H106" s="1048"/>
      <c r="I106" s="984"/>
      <c r="J106" s="984"/>
      <c r="K106" s="1057"/>
      <c r="L106" s="989"/>
      <c r="M106" s="989"/>
      <c r="N106" s="989"/>
      <c r="O106" s="989"/>
      <c r="P106" s="989"/>
      <c r="Q106" s="989"/>
      <c r="R106" s="989"/>
      <c r="S106" s="989"/>
      <c r="T106" s="989"/>
    </row>
    <row r="107" spans="1:20" ht="15" thickBot="1" x14ac:dyDescent="0.4">
      <c r="A107" s="860"/>
      <c r="B107" s="968"/>
      <c r="C107" s="969"/>
      <c r="D107" s="981"/>
      <c r="E107" s="1054">
        <f>SUM(E104:E106)</f>
        <v>0</v>
      </c>
      <c r="F107" s="1053"/>
      <c r="G107" s="969"/>
      <c r="H107" s="1049"/>
      <c r="I107" s="981"/>
      <c r="J107" s="969"/>
      <c r="K107" s="1058"/>
      <c r="L107" s="989"/>
      <c r="M107" s="989"/>
      <c r="N107" s="989"/>
      <c r="O107" s="989"/>
      <c r="P107" s="989"/>
      <c r="Q107" s="989"/>
      <c r="R107" s="989"/>
      <c r="S107" s="989"/>
      <c r="T107" s="989"/>
    </row>
    <row r="108" spans="1:20" x14ac:dyDescent="0.35">
      <c r="A108" s="860"/>
      <c r="B108" s="978"/>
      <c r="C108" s="860"/>
      <c r="D108" s="860"/>
      <c r="E108" s="860"/>
      <c r="F108" s="860"/>
      <c r="G108" s="860"/>
      <c r="H108" s="860"/>
      <c r="I108" s="860"/>
      <c r="J108" s="860"/>
      <c r="K108" s="860"/>
      <c r="L108" s="989"/>
      <c r="M108" s="989"/>
      <c r="N108" s="989"/>
      <c r="O108" s="989"/>
      <c r="P108" s="989"/>
      <c r="Q108" s="989"/>
      <c r="R108" s="989"/>
      <c r="S108" s="989"/>
      <c r="T108" s="989"/>
    </row>
    <row r="109" spans="1:20" ht="15" thickBot="1" x14ac:dyDescent="0.4">
      <c r="A109" s="860"/>
      <c r="B109" s="998" t="s">
        <v>2232</v>
      </c>
      <c r="C109" s="860"/>
      <c r="D109" s="860"/>
      <c r="E109" s="860"/>
      <c r="F109" s="860"/>
      <c r="G109" s="860"/>
      <c r="H109" s="860"/>
      <c r="I109" s="860"/>
      <c r="J109" s="860"/>
      <c r="K109" s="860"/>
      <c r="L109" s="989"/>
      <c r="M109" s="989"/>
      <c r="N109" s="989"/>
      <c r="O109" s="989"/>
      <c r="P109" s="989"/>
      <c r="Q109" s="989"/>
      <c r="R109" s="989"/>
      <c r="S109" s="989"/>
      <c r="T109" s="989"/>
    </row>
    <row r="110" spans="1:20" x14ac:dyDescent="0.35">
      <c r="A110" s="860"/>
      <c r="B110" s="2169"/>
      <c r="C110" s="2170"/>
      <c r="D110" s="2170"/>
      <c r="E110" s="2170"/>
      <c r="F110" s="2170"/>
      <c r="G110" s="2170"/>
      <c r="H110" s="2170"/>
      <c r="I110" s="2170"/>
      <c r="J110" s="2170"/>
      <c r="K110" s="2171"/>
      <c r="L110" s="989"/>
      <c r="M110" s="989"/>
      <c r="N110" s="989"/>
      <c r="O110" s="989"/>
      <c r="P110" s="989"/>
      <c r="Q110" s="989"/>
      <c r="R110" s="989"/>
      <c r="S110" s="989"/>
      <c r="T110" s="989"/>
    </row>
    <row r="111" spans="1:20" x14ac:dyDescent="0.35">
      <c r="A111" s="860"/>
      <c r="B111" s="2172"/>
      <c r="C111" s="2173"/>
      <c r="D111" s="2173"/>
      <c r="E111" s="2173"/>
      <c r="F111" s="2173"/>
      <c r="G111" s="2173"/>
      <c r="H111" s="2173"/>
      <c r="I111" s="2173"/>
      <c r="J111" s="2173"/>
      <c r="K111" s="2174"/>
      <c r="L111" s="989"/>
      <c r="M111" s="989"/>
      <c r="N111" s="989"/>
      <c r="O111" s="989"/>
      <c r="P111" s="989"/>
      <c r="Q111" s="989"/>
      <c r="R111" s="989"/>
      <c r="S111" s="989"/>
      <c r="T111" s="989"/>
    </row>
    <row r="112" spans="1:20" x14ac:dyDescent="0.35">
      <c r="A112" s="860"/>
      <c r="B112" s="2172"/>
      <c r="C112" s="2173"/>
      <c r="D112" s="2173"/>
      <c r="E112" s="2173"/>
      <c r="F112" s="2173"/>
      <c r="G112" s="2173"/>
      <c r="H112" s="2173"/>
      <c r="I112" s="2173"/>
      <c r="J112" s="2173"/>
      <c r="K112" s="2174"/>
      <c r="L112" s="989"/>
      <c r="M112" s="989"/>
      <c r="N112" s="989"/>
      <c r="O112" s="989"/>
      <c r="P112" s="989"/>
      <c r="Q112" s="989"/>
      <c r="R112" s="989"/>
      <c r="S112" s="989"/>
      <c r="T112" s="989"/>
    </row>
    <row r="113" spans="1:20" ht="15" thickBot="1" x14ac:dyDescent="0.4">
      <c r="A113" s="860"/>
      <c r="B113" s="2166"/>
      <c r="C113" s="2167"/>
      <c r="D113" s="2167"/>
      <c r="E113" s="2167"/>
      <c r="F113" s="2167"/>
      <c r="G113" s="2167"/>
      <c r="H113" s="2167"/>
      <c r="I113" s="2167"/>
      <c r="J113" s="2167"/>
      <c r="K113" s="2168"/>
      <c r="L113" s="989"/>
      <c r="M113" s="989"/>
      <c r="N113" s="989"/>
      <c r="O113" s="989"/>
      <c r="P113" s="989"/>
      <c r="Q113" s="989"/>
      <c r="R113" s="989"/>
      <c r="S113" s="989"/>
      <c r="T113" s="989"/>
    </row>
    <row r="114" spans="1:20" x14ac:dyDescent="0.35">
      <c r="A114" s="860"/>
      <c r="B114" s="978"/>
      <c r="C114" s="860"/>
      <c r="D114" s="860"/>
      <c r="E114" s="860"/>
      <c r="F114" s="860"/>
      <c r="G114" s="860"/>
      <c r="H114" s="860"/>
      <c r="I114" s="860"/>
      <c r="J114" s="860"/>
      <c r="K114" s="860"/>
      <c r="L114" s="989"/>
      <c r="M114" s="989"/>
      <c r="N114" s="989"/>
      <c r="O114" s="989"/>
      <c r="P114" s="989"/>
      <c r="Q114" s="989"/>
      <c r="R114" s="989"/>
      <c r="S114" s="989"/>
      <c r="T114" s="989"/>
    </row>
    <row r="115" spans="1:20" x14ac:dyDescent="0.35">
      <c r="A115" s="860"/>
      <c r="B115" s="978"/>
      <c r="C115" s="860"/>
      <c r="D115" s="860"/>
      <c r="E115" s="860"/>
      <c r="F115" s="860"/>
      <c r="G115" s="860"/>
      <c r="H115" s="860"/>
      <c r="I115" s="860"/>
      <c r="J115" s="860"/>
      <c r="K115" s="860"/>
      <c r="L115" s="989"/>
      <c r="M115" s="989"/>
      <c r="N115" s="989"/>
      <c r="O115" s="989"/>
      <c r="P115" s="989"/>
      <c r="Q115" s="989"/>
      <c r="R115" s="989"/>
      <c r="S115" s="989"/>
      <c r="T115" s="989"/>
    </row>
    <row r="116" spans="1:20" x14ac:dyDescent="0.35">
      <c r="A116" s="860"/>
      <c r="B116" s="978"/>
      <c r="C116" s="860"/>
      <c r="D116" s="860"/>
      <c r="E116" s="860"/>
      <c r="F116" s="860"/>
      <c r="G116" s="860"/>
      <c r="H116" s="860"/>
      <c r="I116" s="860"/>
      <c r="J116" s="860"/>
      <c r="K116" s="860"/>
      <c r="L116" s="989"/>
      <c r="M116" s="989"/>
      <c r="N116" s="989"/>
      <c r="O116" s="989"/>
      <c r="P116" s="989"/>
      <c r="Q116" s="989"/>
      <c r="R116" s="989"/>
      <c r="S116" s="989"/>
      <c r="T116" s="989"/>
    </row>
    <row r="117" spans="1:20" x14ac:dyDescent="0.35">
      <c r="A117" s="860"/>
      <c r="B117" s="978"/>
      <c r="C117" s="860"/>
      <c r="D117" s="860"/>
      <c r="E117" s="860"/>
      <c r="F117" s="860"/>
      <c r="G117" s="860"/>
      <c r="H117" s="860"/>
      <c r="I117" s="860"/>
      <c r="J117" s="860"/>
      <c r="K117" s="860"/>
      <c r="L117" s="989"/>
      <c r="M117" s="989"/>
      <c r="N117" s="989"/>
      <c r="O117" s="989"/>
      <c r="P117" s="989"/>
      <c r="Q117" s="989"/>
      <c r="R117" s="989"/>
      <c r="S117" s="989"/>
      <c r="T117" s="989"/>
    </row>
    <row r="118" spans="1:20" ht="15" thickBot="1" x14ac:dyDescent="0.4">
      <c r="A118" s="860"/>
      <c r="B118" s="860"/>
      <c r="C118" s="860"/>
      <c r="D118" s="860"/>
      <c r="E118" s="860"/>
      <c r="F118" s="860"/>
      <c r="G118" s="860"/>
      <c r="H118" s="860"/>
      <c r="I118" s="860"/>
      <c r="J118" s="860"/>
      <c r="K118" s="860"/>
      <c r="L118" s="989"/>
      <c r="M118" s="989"/>
      <c r="N118" s="989"/>
      <c r="O118" s="989"/>
      <c r="P118" s="989"/>
      <c r="Q118" s="989"/>
      <c r="R118" s="989"/>
      <c r="S118" s="989"/>
      <c r="T118" s="989"/>
    </row>
    <row r="119" spans="1:20" ht="15" thickBot="1" x14ac:dyDescent="0.4">
      <c r="A119" s="860"/>
      <c r="B119" s="2163" t="s">
        <v>2273</v>
      </c>
      <c r="C119" s="2164"/>
      <c r="D119" s="2164"/>
      <c r="E119" s="2164"/>
      <c r="F119" s="2164"/>
      <c r="G119" s="2164"/>
      <c r="H119" s="2164"/>
      <c r="I119" s="2164"/>
      <c r="J119" s="2164"/>
      <c r="K119" s="2164"/>
      <c r="L119" s="2164"/>
      <c r="M119" s="2164"/>
      <c r="N119" s="2164"/>
      <c r="O119" s="2164"/>
      <c r="P119" s="2164"/>
      <c r="Q119" s="2164"/>
      <c r="R119" s="2164"/>
      <c r="S119" s="2164"/>
      <c r="T119" s="2165"/>
    </row>
    <row r="120" spans="1:20" x14ac:dyDescent="0.35">
      <c r="A120" s="988"/>
      <c r="B120" s="988"/>
      <c r="C120" s="988"/>
      <c r="D120" s="988"/>
      <c r="E120" s="988"/>
      <c r="F120" s="988"/>
      <c r="G120" s="988"/>
      <c r="H120" s="988"/>
      <c r="I120" s="988"/>
      <c r="J120" s="988"/>
      <c r="K120" s="988"/>
      <c r="L120" s="989"/>
      <c r="M120" s="989"/>
      <c r="N120" s="989"/>
      <c r="O120" s="989"/>
      <c r="P120" s="989"/>
      <c r="Q120" s="989"/>
      <c r="R120" s="989"/>
      <c r="S120" s="989"/>
      <c r="T120" s="989"/>
    </row>
    <row r="121" spans="1:20" x14ac:dyDescent="0.35">
      <c r="A121" s="989"/>
      <c r="B121" s="990" t="s">
        <v>2244</v>
      </c>
      <c r="C121" s="989"/>
      <c r="D121" s="989"/>
      <c r="E121" s="989"/>
      <c r="F121" s="989"/>
      <c r="G121" s="989"/>
      <c r="H121" s="989"/>
      <c r="I121" s="989"/>
      <c r="J121" s="989"/>
      <c r="K121" s="989"/>
      <c r="L121" s="989"/>
      <c r="M121" s="989"/>
      <c r="N121" s="989"/>
      <c r="O121" s="989"/>
      <c r="P121" s="989"/>
      <c r="Q121" s="989"/>
      <c r="R121" s="989"/>
      <c r="S121" s="989"/>
      <c r="T121" s="989"/>
    </row>
    <row r="122" spans="1:20" x14ac:dyDescent="0.35">
      <c r="A122" s="989"/>
      <c r="B122" s="989"/>
      <c r="C122" s="989"/>
      <c r="D122" s="989"/>
      <c r="E122" s="989"/>
      <c r="F122" s="989"/>
      <c r="G122" s="989"/>
      <c r="H122" s="989"/>
      <c r="I122" s="989"/>
      <c r="J122" s="989"/>
      <c r="K122" s="989"/>
      <c r="L122" s="989"/>
      <c r="M122" s="989"/>
      <c r="N122" s="989"/>
      <c r="O122" s="989"/>
      <c r="P122" s="989"/>
      <c r="Q122" s="989"/>
      <c r="R122" s="989"/>
      <c r="S122" s="989"/>
      <c r="T122" s="989"/>
    </row>
    <row r="123" spans="1:20" ht="15" thickBot="1" x14ac:dyDescent="0.4">
      <c r="A123" s="989"/>
      <c r="B123" s="989"/>
      <c r="C123" s="989"/>
      <c r="D123" s="989"/>
      <c r="E123" s="989"/>
      <c r="F123" s="989"/>
      <c r="G123" s="989"/>
      <c r="H123" s="989"/>
      <c r="I123" s="989"/>
      <c r="J123" s="989"/>
      <c r="K123" s="989"/>
      <c r="L123" s="989"/>
      <c r="M123" s="989"/>
      <c r="N123" s="989"/>
      <c r="O123" s="989"/>
      <c r="P123" s="989"/>
      <c r="Q123" s="989"/>
      <c r="R123" s="989"/>
      <c r="S123" s="989"/>
      <c r="T123" s="989"/>
    </row>
    <row r="124" spans="1:20" ht="15" thickBot="1" x14ac:dyDescent="0.4">
      <c r="A124" s="989"/>
      <c r="B124" s="989"/>
      <c r="C124" s="2202" t="s">
        <v>2245</v>
      </c>
      <c r="D124" s="2253"/>
      <c r="E124" s="2205" t="s">
        <v>2246</v>
      </c>
      <c r="F124" s="2205"/>
      <c r="G124" s="2205"/>
      <c r="H124" s="2205"/>
      <c r="I124" s="2206"/>
      <c r="J124" s="1018"/>
      <c r="K124" s="989"/>
      <c r="L124" s="989"/>
      <c r="M124" s="989"/>
      <c r="N124" s="989"/>
      <c r="O124" s="989"/>
      <c r="P124" s="989"/>
      <c r="Q124" s="989"/>
      <c r="R124" s="989"/>
      <c r="S124" s="989"/>
      <c r="T124" s="989"/>
    </row>
    <row r="125" spans="1:20" ht="23.5" thickBot="1" x14ac:dyDescent="0.4">
      <c r="A125" s="989"/>
      <c r="B125" s="1088" t="s">
        <v>2067</v>
      </c>
      <c r="C125" s="999" t="s">
        <v>2068</v>
      </c>
      <c r="D125" s="1081" t="s">
        <v>2069</v>
      </c>
      <c r="E125" s="1074" t="s">
        <v>2247</v>
      </c>
      <c r="F125" s="1000" t="s">
        <v>2226</v>
      </c>
      <c r="G125" s="1025" t="s">
        <v>2069</v>
      </c>
      <c r="H125" s="1000" t="s">
        <v>2248</v>
      </c>
      <c r="I125" s="1081" t="s">
        <v>2249</v>
      </c>
      <c r="J125" s="1081" t="s">
        <v>2318</v>
      </c>
      <c r="K125" s="989"/>
      <c r="L125" s="989"/>
      <c r="M125" s="989"/>
      <c r="N125" s="989"/>
      <c r="O125" s="989"/>
      <c r="P125" s="989"/>
      <c r="Q125" s="989"/>
      <c r="R125" s="989"/>
      <c r="S125" s="989"/>
      <c r="T125" s="989"/>
    </row>
    <row r="126" spans="1:20" ht="38.25" customHeight="1" x14ac:dyDescent="0.35">
      <c r="A126" s="989"/>
      <c r="B126" s="1089" t="str">
        <f>+IF(Anagrafica!$G$2="Capo II","Opere murarie e assimilate","Acquisto immobile sede dell'attività")</f>
        <v>Acquisto immobile sede dell'attività</v>
      </c>
      <c r="C126" s="1094">
        <f ca="1">+Anagrafica!I30</f>
        <v>0</v>
      </c>
      <c r="D126" s="1079">
        <f ca="1">+Anagrafica!J30</f>
        <v>0</v>
      </c>
      <c r="E126" s="1075" t="e" cm="1">
        <f t="array" aca="1" ref="E126" ca="1">+SUMIF(Categoriesalsaldo,B126,Imponibilesalsaldo)</f>
        <v>#REF!</v>
      </c>
      <c r="F126" s="1064" t="e" cm="1">
        <f t="array" aca="1" ref="F126" ca="1">+SUMIF(Categoriesalsaldo,B126,Realizzatosalsaldo)</f>
        <v>#REF!</v>
      </c>
      <c r="G126" s="1064" t="e" cm="1">
        <f t="array" aca="1" ref="G126" ca="1">+SUMIF(Categoriesalsaldo,B126,Ammessosalsaldo)</f>
        <v>#REF!</v>
      </c>
      <c r="H126" s="1064" t="str">
        <f ca="1">IFERROR(+G126*Anagrafica!F38,"")</f>
        <v/>
      </c>
      <c r="I126" s="1086">
        <v>0</v>
      </c>
      <c r="J126" s="1082" t="e">
        <f ca="1">+IF(C126-F126-'1 SAL'!F110-'2 SAL'!F126-'3 SAL'!F129-'4 SAL'!F124&lt;0,0,C126-F126-'1 SAL'!F110-'2 SAL'!F126-'3 SAL'!F129-'4 SAL'!F124)</f>
        <v>#REF!</v>
      </c>
      <c r="K126" s="989"/>
      <c r="L126" s="1018"/>
      <c r="M126" s="989"/>
      <c r="N126" s="989"/>
      <c r="O126" s="989"/>
      <c r="P126" s="989"/>
      <c r="Q126" s="989"/>
      <c r="S126" s="989"/>
      <c r="T126" s="989"/>
    </row>
    <row r="127" spans="1:20" ht="41.25" customHeight="1" x14ac:dyDescent="0.35">
      <c r="A127" s="989"/>
      <c r="B127" s="1090" t="str">
        <f>+IF(Anagrafica!$G$2="Capo II","Macchinari, impianti ed attrezzature","Opere murarie e assimilate")</f>
        <v>Opere murarie e assimilate</v>
      </c>
      <c r="C127" s="1095">
        <f ca="1">+Anagrafica!I31</f>
        <v>0</v>
      </c>
      <c r="D127" s="1065">
        <f>+Anagrafica!J31</f>
        <v>0</v>
      </c>
      <c r="E127" s="1075" t="e" cm="1">
        <f t="array" aca="1" ref="E127" ca="1">+SUMIF(Categoriesalsaldo,B127,Imponibilesalsaldo)</f>
        <v>#REF!</v>
      </c>
      <c r="F127" s="1066" t="e" cm="1">
        <f t="array" aca="1" ref="F127" ca="1">+SUMIF(Categoriesalsaldo,B127,Realizzatosalsaldo)</f>
        <v>#REF!</v>
      </c>
      <c r="G127" s="1066" t="e" cm="1">
        <f t="array" aca="1" ref="G127" ca="1">+SUMIF(Categoriesalsaldo,B127,Ammessosalsaldo)</f>
        <v>#REF!</v>
      </c>
      <c r="H127" s="1066" t="e">
        <f ca="1">+IF(Anagrafica!$G$2="Capo II",(G127*Anagrafica!$F$38-I127),G127*Anagrafica!$F$38)</f>
        <v>#REF!</v>
      </c>
      <c r="I127" s="1065">
        <f ca="1">+IFERROR((G127/'Calcolo contributo CAPO II'!$C$23)*Anagrafica!$C$37,0)</f>
        <v>0</v>
      </c>
      <c r="J127" s="1082" t="e">
        <f ca="1">+IF(C127-F127-'1 SAL'!F111-'2 SAL'!F127-'3 SAL'!F130-'4 SAL'!F125&lt;0,0,C127-F127-'1 SAL'!F111-'2 SAL'!F127-'3 SAL'!F130-'4 SAL'!F125)</f>
        <v>#REF!</v>
      </c>
      <c r="K127" s="1018"/>
      <c r="L127" s="1019"/>
      <c r="M127" s="989"/>
      <c r="N127" s="989"/>
      <c r="O127" s="989"/>
      <c r="P127" s="989"/>
      <c r="Q127" s="989"/>
      <c r="R127" s="989"/>
      <c r="S127" s="989"/>
      <c r="T127" s="989"/>
    </row>
    <row r="128" spans="1:20" ht="70.5" customHeight="1" x14ac:dyDescent="0.35">
      <c r="A128" s="989"/>
      <c r="B128" s="1091" t="str">
        <f>+IF(Anagrafica!$G$2="Capo II","Programmi informatici e servizi per le tecnologie dell’informazione e della comunicazione","Macchinari, impianti ed attrezzature")</f>
        <v>Macchinari, impianti ed attrezzature</v>
      </c>
      <c r="C128" s="1095">
        <f ca="1">+Anagrafica!I32</f>
        <v>10000</v>
      </c>
      <c r="D128" s="1065">
        <f>+Anagrafica!J32</f>
        <v>0</v>
      </c>
      <c r="E128" s="1075" t="e" cm="1">
        <f t="array" aca="1" ref="E128" ca="1">+SUMIF(Categoriesalsaldo,B128,Imponibilesalsaldo)</f>
        <v>#REF!</v>
      </c>
      <c r="F128" s="1066" t="e" cm="1">
        <f t="array" aca="1" ref="F128" ca="1">+SUMIF(Categoriesalsaldo,B128,Realizzatosalsaldo)</f>
        <v>#REF!</v>
      </c>
      <c r="G128" s="1066" t="e" cm="1">
        <f t="array" aca="1" ref="G128" ca="1">+SUMIF(Categoriesalsaldo,B128,Ammessosalsaldo)</f>
        <v>#REF!</v>
      </c>
      <c r="H128" s="1066" t="e">
        <f ca="1">+(G128*Anagrafica!$F$38-I128)</f>
        <v>#REF!</v>
      </c>
      <c r="I128" s="1065" t="e">
        <f ca="1">IF(Anagrafica!$G$2="Capo II",(G128/'Calcolo contributo CAPO II'!$C$23)*Anagrafica!$C$37,G128/(GBER!$C$11+GBER!$C$13)*Anagrafica!$C$37)</f>
        <v>#REF!</v>
      </c>
      <c r="J128" s="1082" t="e">
        <f ca="1">+IF(C128-F128-'1 SAL'!F112-'2 SAL'!F128-'3 SAL'!F131-'4 SAL'!F126&lt;0,0,C128-F128-'1 SAL'!F112-'2 SAL'!F128-'3 SAL'!F131-'4 SAL'!F126)</f>
        <v>#REF!</v>
      </c>
      <c r="K128" s="1018"/>
      <c r="L128" s="1018"/>
      <c r="M128" s="1018"/>
      <c r="N128" s="1018"/>
      <c r="O128" s="989"/>
      <c r="P128" s="989"/>
      <c r="Q128" s="989"/>
      <c r="R128" s="1018"/>
      <c r="S128" s="989"/>
      <c r="T128" s="989"/>
    </row>
    <row r="129" spans="1:20" ht="45.75" customHeight="1" x14ac:dyDescent="0.35">
      <c r="A129" s="989"/>
      <c r="B129" s="1091" t="str">
        <f>+IF(Anagrafica!$G$2="Capo II","Acquisto di brevetti o acquisizione di relative licenze d’uso","Programmi informatici, brevetti, licenze e marchi")</f>
        <v>Programmi informatici, brevetti, licenze e marchi</v>
      </c>
      <c r="C129" s="1095">
        <f ca="1">+Anagrafica!I33</f>
        <v>0</v>
      </c>
      <c r="D129" s="1065">
        <f ca="1">+Anagrafica!J33</f>
        <v>0</v>
      </c>
      <c r="E129" s="1075" t="e" cm="1">
        <f t="array" aca="1" ref="E129" ca="1">+SUMIF(Categoriesalsaldo,B129,Imponibilesalsaldo)</f>
        <v>#REF!</v>
      </c>
      <c r="F129" s="1066" t="e" cm="1">
        <f t="array" aca="1" ref="F129" ca="1">+SUMIF(Categoriesalsaldo,B129,Realizzatosalsaldo)</f>
        <v>#REF!</v>
      </c>
      <c r="G129" s="1066" t="e" cm="1">
        <f t="array" aca="1" ref="G129" ca="1">+SUMIF(Categoriesalsaldo,B129,Ammessosalsaldo)</f>
        <v>#REF!</v>
      </c>
      <c r="H129" s="1066" t="e">
        <f ca="1">+G129*Anagrafica!$F$38-I129</f>
        <v>#REF!</v>
      </c>
      <c r="I129" s="1065" t="e">
        <f ca="1">IF(Anagrafica!$G$2="Capo II",(G129/'Calcolo contributo CAPO II'!$C$23)*Anagrafica!$C$37,G129/(GBER!$C$11+GBER!$C$13)*Anagrafica!$C$37)</f>
        <v>#REF!</v>
      </c>
      <c r="J129" s="1082" t="e">
        <f ca="1">+IF(C129-F129-'1 SAL'!F113-'2 SAL'!F129-'3 SAL'!F132-'4 SAL'!F127&lt;0,0,C129-F129-'1 SAL'!F113-'2 SAL'!F129-'3 SAL'!F132-'4 SAL'!F127)</f>
        <v>#REF!</v>
      </c>
      <c r="K129" s="989"/>
      <c r="L129" s="1019"/>
      <c r="M129" s="1028"/>
      <c r="N129" s="989"/>
      <c r="O129" s="989"/>
      <c r="P129" s="989"/>
      <c r="Q129" s="989"/>
      <c r="R129" s="989"/>
      <c r="S129" s="989"/>
      <c r="T129" s="989"/>
    </row>
    <row r="130" spans="1:20" ht="39" customHeight="1" x14ac:dyDescent="0.35">
      <c r="A130" s="989"/>
      <c r="B130" s="1091" t="str">
        <f>+IF(Anagrafica!$G$2="Capo II","Consulenze specialistiche","TOTALE PROGRAMMA DI SPESA")</f>
        <v>TOTALE PROGRAMMA DI SPESA</v>
      </c>
      <c r="C130" s="1095">
        <f ca="1">+Anagrafica!I34</f>
        <v>10000</v>
      </c>
      <c r="D130" s="1065">
        <f ca="1">+Anagrafica!J34</f>
        <v>0</v>
      </c>
      <c r="E130" s="1075" t="e" cm="1">
        <f t="array" aca="1" ref="E130" ca="1">IF(Anagrafica!$G$2="Capo II",+SUMIF(Categoriesalsaldo,B130,Imponibilesalsaldo),SUM(E126:E129))</f>
        <v>#REF!</v>
      </c>
      <c r="F130" s="1066" t="e" cm="1">
        <f t="array" aca="1" ref="F130" ca="1">+IF(Anagrafica!$G$2="Capo II",+SUMIF(Categoriesalsaldo,B130,Realizzatosalsaldo),SUM(F126:F129))</f>
        <v>#REF!</v>
      </c>
      <c r="G130" s="1066" t="e" cm="1">
        <f t="array" aca="1" ref="G130" ca="1">IF(Anagrafica!$G$2="Capo II",+SUMIF(Categoriesalsaldo,B130,Ammessosalsaldo),SUM(G126:G129))</f>
        <v>#REF!</v>
      </c>
      <c r="H130" s="1066">
        <f ca="1">IFERROR(IF(Anagrafica!$G$2="Capo II",+G130*Anagrafica!$F$38,SUM(H126:H129)),0)</f>
        <v>0</v>
      </c>
      <c r="I130" s="1065">
        <f ca="1">IFERROR(IF(Anagrafica!$G$2="Capo II",0,SUM(I126:I129)),0)</f>
        <v>0</v>
      </c>
      <c r="J130" s="1082" t="e">
        <f ca="1">+IF(C130-F130-'1 SAL'!F114-'2 SAL'!F130-'3 SAL'!F133-'4 SAL'!F128&lt;0,0,C130-F130-'1 SAL'!F114-'2 SAL'!F130-'3 SAL'!F133-'4 SAL'!F128)</f>
        <v>#REF!</v>
      </c>
      <c r="K130" s="989"/>
      <c r="L130" s="1028"/>
      <c r="M130" s="989"/>
      <c r="N130" s="989"/>
      <c r="O130" s="1018"/>
      <c r="P130" s="989"/>
      <c r="Q130" s="989"/>
      <c r="R130" s="989"/>
      <c r="S130" s="989"/>
      <c r="T130" s="989"/>
    </row>
    <row r="131" spans="1:20" ht="44.25" customHeight="1" thickBot="1" x14ac:dyDescent="0.4">
      <c r="A131" s="989"/>
      <c r="B131" s="1092" t="str">
        <f>+IF(Anagrafica!$G$2="Capo II","Oneri notarili connessi alla stipula del contratto di finanziamento ed oneri connessi alla costituzione della società","")</f>
        <v/>
      </c>
      <c r="C131" s="1096" t="str">
        <f>+Anagrafica!I35</f>
        <v/>
      </c>
      <c r="D131" s="1072" t="str">
        <f>+Anagrafica!J35</f>
        <v/>
      </c>
      <c r="E131" s="1075" t="e" cm="1">
        <f t="array" aca="1" ref="E131" ca="1">+SUMIF(Categoriesalsaldo,B131,Imponibilesalsaldo)</f>
        <v>#REF!</v>
      </c>
      <c r="F131" s="1068" t="e" cm="1">
        <f t="array" aca="1" ref="F131" ca="1">+SUMIF(Categoriesalsaldo,B131,Realizzatosalsaldo)</f>
        <v>#REF!</v>
      </c>
      <c r="G131" s="1068" t="e" cm="1">
        <f t="array" aca="1" ref="G131" ca="1">+SUMIF(Categoriesalsaldo,B131,Ammessosalsaldo)</f>
        <v>#REF!</v>
      </c>
      <c r="H131" s="1064" t="str">
        <f ca="1">IFERROR(+G131*Anagrafica!F40,"")</f>
        <v/>
      </c>
      <c r="I131" s="1072">
        <v>0</v>
      </c>
      <c r="J131" s="1082" t="e">
        <f ca="1">+IF(C131-F131-'1 SAL'!F115-'2 SAL'!F131-'3 SAL'!F134-'4 SAL'!F129&lt;0,0,C131-F131-'1 SAL'!F115-'2 SAL'!F131-'3 SAL'!F134-'4 SAL'!F129)</f>
        <v>#VALUE!</v>
      </c>
      <c r="K131" s="989"/>
      <c r="L131" s="989"/>
      <c r="M131" s="989"/>
      <c r="N131" s="989"/>
      <c r="O131" s="989"/>
      <c r="P131" s="989"/>
      <c r="Q131" s="989"/>
      <c r="R131" s="989"/>
      <c r="S131" s="989"/>
      <c r="T131" s="989"/>
    </row>
    <row r="132" spans="1:20" ht="28.5" customHeight="1" thickBot="1" x14ac:dyDescent="0.4">
      <c r="A132" s="989"/>
      <c r="B132" s="1093" t="str">
        <f>+IF(Anagrafica!$G$2="Capo II","TOTALE INVESTIMENTO","")</f>
        <v/>
      </c>
      <c r="C132" s="1097" t="str">
        <f>+Anagrafica!I36</f>
        <v/>
      </c>
      <c r="D132" s="1080" t="str">
        <f>+Anagrafica!J36</f>
        <v/>
      </c>
      <c r="E132" s="1076" t="e">
        <f t="shared" ref="E132:I132" ca="1" si="0">+SUM(E126:E131)</f>
        <v>#REF!</v>
      </c>
      <c r="F132" s="1070" t="e">
        <f t="shared" ca="1" si="0"/>
        <v>#REF!</v>
      </c>
      <c r="G132" s="1070" t="e">
        <f t="shared" ca="1" si="0"/>
        <v>#REF!</v>
      </c>
      <c r="H132" s="1070" t="e">
        <f t="shared" ca="1" si="0"/>
        <v>#REF!</v>
      </c>
      <c r="I132" s="1071" t="e">
        <f t="shared" ca="1" si="0"/>
        <v>#REF!</v>
      </c>
      <c r="J132" s="1083" t="e">
        <f ca="1">+SUM(J126:J131)</f>
        <v>#REF!</v>
      </c>
      <c r="K132" s="989"/>
      <c r="L132" s="989"/>
      <c r="M132" s="989"/>
      <c r="N132" s="989"/>
      <c r="O132" s="989"/>
      <c r="P132" s="989"/>
      <c r="Q132" s="989"/>
      <c r="R132" s="989"/>
      <c r="S132" s="989"/>
      <c r="T132" s="989"/>
    </row>
    <row r="133" spans="1:20" ht="27.75" customHeight="1" thickBot="1" x14ac:dyDescent="0.4">
      <c r="A133" s="989"/>
      <c r="B133" s="1092" t="str">
        <f>+IF(Anagrafica!$G$2="Capo II","Capitale circolante","")</f>
        <v/>
      </c>
      <c r="C133" s="1096">
        <f>+Anagrafica!C31</f>
        <v>0</v>
      </c>
      <c r="D133" s="1072">
        <f>+Anagrafica!C31</f>
        <v>0</v>
      </c>
      <c r="E133" s="1067">
        <f>+E83</f>
        <v>0</v>
      </c>
      <c r="F133" s="1067">
        <f>+E84</f>
        <v>0</v>
      </c>
      <c r="G133" s="1067">
        <f>+E84</f>
        <v>0</v>
      </c>
      <c r="H133" s="1064">
        <f ca="1">IFERROR(G133*Anagrafica!$F$38,0)</f>
        <v>0</v>
      </c>
      <c r="I133" s="1086">
        <v>0</v>
      </c>
      <c r="J133" s="1084">
        <f>+IF(C133-F133-'1 SAL'!F117-'2 SAL'!F133-'3 SAL'!F136-'4 SAL'!F131&lt;0,0,C133-F133-'1 SAL'!F117-'2 SAL'!F133-'3 SAL'!F136-'4 SAL'!F131)</f>
        <v>0</v>
      </c>
      <c r="K133" s="989"/>
      <c r="L133" s="989"/>
      <c r="M133" s="989"/>
      <c r="N133" s="989"/>
      <c r="O133" s="989"/>
      <c r="P133" s="989"/>
      <c r="R133" s="989"/>
      <c r="S133" s="989"/>
      <c r="T133" s="989"/>
    </row>
    <row r="134" spans="1:20" ht="31.5" customHeight="1" thickBot="1" x14ac:dyDescent="0.4">
      <c r="A134" s="989"/>
      <c r="B134" s="1093" t="str">
        <f>+IF(Anagrafica!G2="Capo II","TOTALE PROGRAMMA DI SPESA","")</f>
        <v/>
      </c>
      <c r="C134" s="1070" t="str">
        <f>+Anagrafica!I38</f>
        <v/>
      </c>
      <c r="D134" s="1070" t="str">
        <f>+Anagrafica!J38</f>
        <v/>
      </c>
      <c r="E134" s="1070" t="e">
        <f ca="1">+E132+E133</f>
        <v>#REF!</v>
      </c>
      <c r="F134" s="1070" t="e">
        <f ca="1">+F132+F133</f>
        <v>#REF!</v>
      </c>
      <c r="G134" s="1070" t="e">
        <f ca="1">+G132+G133</f>
        <v>#REF!</v>
      </c>
      <c r="H134" s="1070" t="e">
        <f ca="1">+H133+H132</f>
        <v>#REF!</v>
      </c>
      <c r="I134" s="1071" t="e">
        <f ca="1">+I132</f>
        <v>#REF!</v>
      </c>
      <c r="J134" s="1083" t="e">
        <f ca="1">+J133+J132</f>
        <v>#REF!</v>
      </c>
      <c r="K134" s="989"/>
      <c r="L134" s="989"/>
      <c r="M134" s="989"/>
      <c r="N134" s="989"/>
      <c r="O134" s="989"/>
      <c r="P134" s="989"/>
      <c r="Q134" s="989"/>
      <c r="R134" s="989"/>
      <c r="S134" s="989"/>
      <c r="T134" s="989"/>
    </row>
    <row r="135" spans="1:20" x14ac:dyDescent="0.35">
      <c r="A135" s="989"/>
      <c r="B135" s="989"/>
      <c r="C135" s="989"/>
      <c r="D135" s="989"/>
      <c r="E135" s="989"/>
      <c r="F135" s="989"/>
      <c r="G135" s="989"/>
      <c r="H135" s="989"/>
      <c r="I135" s="989"/>
      <c r="J135" s="989"/>
      <c r="K135" s="989"/>
      <c r="L135" s="989"/>
      <c r="M135" s="989"/>
      <c r="N135" s="989"/>
      <c r="O135" s="989"/>
      <c r="P135" s="989"/>
      <c r="Q135" s="989"/>
      <c r="R135" s="989"/>
      <c r="S135" s="989"/>
      <c r="T135" s="989"/>
    </row>
    <row r="136" spans="1:20" ht="15" thickBot="1" x14ac:dyDescent="0.4">
      <c r="A136" s="989"/>
      <c r="B136" s="989"/>
      <c r="C136" s="989"/>
      <c r="D136" s="989"/>
      <c r="E136" s="989"/>
      <c r="F136" s="989"/>
      <c r="G136" s="989"/>
      <c r="H136" s="989"/>
      <c r="I136" s="989"/>
      <c r="J136" s="989"/>
      <c r="K136" s="989"/>
      <c r="L136" s="989"/>
      <c r="M136" s="989"/>
      <c r="N136" s="989"/>
      <c r="O136" s="989"/>
      <c r="P136" s="989"/>
      <c r="Q136" s="989"/>
      <c r="R136" s="989"/>
      <c r="S136" s="989"/>
      <c r="T136" s="989"/>
    </row>
    <row r="137" spans="1:20" ht="15" thickBot="1" x14ac:dyDescent="0.4">
      <c r="A137" s="989"/>
      <c r="B137" s="2232" t="s">
        <v>2163</v>
      </c>
      <c r="C137" s="2233"/>
      <c r="D137" s="2233"/>
      <c r="E137" s="2234"/>
      <c r="F137" s="1119"/>
      <c r="G137" s="989"/>
      <c r="H137" s="989"/>
      <c r="I137" s="989"/>
      <c r="J137" s="989"/>
      <c r="K137" s="989"/>
      <c r="L137" s="989"/>
      <c r="M137" s="989"/>
      <c r="N137" s="989"/>
      <c r="O137" s="989"/>
      <c r="P137" s="989"/>
      <c r="Q137" s="989"/>
      <c r="R137" s="989"/>
      <c r="S137" s="989"/>
      <c r="T137" s="989"/>
    </row>
    <row r="138" spans="1:20" x14ac:dyDescent="0.35">
      <c r="A138" s="989"/>
      <c r="B138" s="2209" t="s">
        <v>2251</v>
      </c>
      <c r="C138" s="2209"/>
      <c r="D138" s="2209"/>
      <c r="E138" s="2209"/>
      <c r="F138" s="1114" t="e">
        <f ca="1">+IF(Anagrafica!$G$2="Capo II",E134,E130)</f>
        <v>#REF!</v>
      </c>
      <c r="G138" s="989"/>
      <c r="H138" s="989"/>
      <c r="I138" s="989"/>
      <c r="J138" s="989"/>
      <c r="K138" s="989"/>
      <c r="L138" s="989"/>
      <c r="M138" s="989"/>
      <c r="N138" s="989"/>
      <c r="O138" s="989"/>
      <c r="P138" s="989"/>
      <c r="Q138" s="989"/>
      <c r="R138" s="989"/>
      <c r="S138" s="989"/>
      <c r="T138" s="989"/>
    </row>
    <row r="139" spans="1:20" x14ac:dyDescent="0.35">
      <c r="A139" s="989"/>
      <c r="B139" s="2208" t="s">
        <v>2252</v>
      </c>
      <c r="C139" s="2208"/>
      <c r="D139" s="2208"/>
      <c r="E139" s="2208"/>
      <c r="F139" s="1115" t="e">
        <f ca="1">+IF(Anagrafica!$G$2="Capo II",F134,F130)</f>
        <v>#REF!</v>
      </c>
      <c r="G139" s="989"/>
      <c r="H139" s="989"/>
      <c r="I139" s="989"/>
      <c r="J139" s="989"/>
      <c r="K139" s="989"/>
      <c r="L139" s="989"/>
      <c r="M139" s="989"/>
      <c r="N139" s="989"/>
      <c r="O139" s="989"/>
      <c r="P139" s="989"/>
      <c r="Q139" s="989"/>
      <c r="R139" s="989"/>
      <c r="S139" s="989"/>
      <c r="T139" s="989"/>
    </row>
    <row r="140" spans="1:20" x14ac:dyDescent="0.35">
      <c r="A140" s="989"/>
      <c r="B140" s="2208" t="s">
        <v>2253</v>
      </c>
      <c r="C140" s="2208"/>
      <c r="D140" s="2208"/>
      <c r="E140" s="2208"/>
      <c r="F140" s="1115" t="e">
        <f ca="1">+IF(Anagrafica!$G$2="Capo II",G134,G130)</f>
        <v>#REF!</v>
      </c>
      <c r="G140" s="989"/>
      <c r="H140" s="989"/>
      <c r="I140" s="989"/>
      <c r="J140" s="989"/>
      <c r="K140" s="989"/>
      <c r="L140" s="989"/>
      <c r="M140" s="989"/>
      <c r="N140" s="989"/>
      <c r="O140" s="989"/>
      <c r="P140" s="989"/>
      <c r="Q140" s="989"/>
      <c r="R140" s="989"/>
      <c r="S140" s="989"/>
      <c r="T140" s="989"/>
    </row>
    <row r="141" spans="1:20" x14ac:dyDescent="0.35">
      <c r="A141" s="989"/>
      <c r="B141" s="2208" t="s">
        <v>2254</v>
      </c>
      <c r="C141" s="2208"/>
      <c r="D141" s="2208"/>
      <c r="E141" s="2208"/>
      <c r="F141" s="1116">
        <f ca="1">+IF(Anagrafica!$G$2="Capo II",H134,H130)</f>
        <v>0</v>
      </c>
      <c r="G141" s="989"/>
      <c r="H141" s="989"/>
      <c r="I141" s="989"/>
      <c r="J141" s="989"/>
      <c r="K141" s="989"/>
      <c r="L141" s="989"/>
      <c r="M141" s="989"/>
      <c r="N141" s="989"/>
      <c r="O141" s="989"/>
      <c r="P141" s="989"/>
      <c r="Q141" s="989"/>
      <c r="R141" s="989"/>
      <c r="S141" s="989"/>
      <c r="T141" s="989"/>
    </row>
    <row r="142" spans="1:20" ht="15" customHeight="1" x14ac:dyDescent="0.35">
      <c r="A142" s="989"/>
      <c r="B142" s="2235" t="s">
        <v>2319</v>
      </c>
      <c r="C142" s="2236"/>
      <c r="D142" s="2236"/>
      <c r="E142" s="2237"/>
      <c r="F142" s="1116" t="e">
        <f ca="1">+Anticipo!F47*(F140/Anagrafica!C32)</f>
        <v>#REF!</v>
      </c>
      <c r="G142" s="989"/>
      <c r="H142" s="989"/>
      <c r="I142" s="989"/>
      <c r="J142" s="989"/>
      <c r="K142" s="989"/>
      <c r="L142" s="989"/>
      <c r="M142" s="989"/>
      <c r="N142" s="989"/>
      <c r="O142" s="989"/>
      <c r="P142" s="989"/>
      <c r="Q142" s="989"/>
      <c r="R142" s="989"/>
      <c r="S142" s="989"/>
      <c r="T142" s="989"/>
    </row>
    <row r="143" spans="1:20" ht="15.75" customHeight="1" x14ac:dyDescent="0.35">
      <c r="A143" s="989"/>
      <c r="B143" s="2235" t="s">
        <v>2275</v>
      </c>
      <c r="C143" s="2236"/>
      <c r="D143" s="2236"/>
      <c r="E143" s="2237"/>
      <c r="F143" s="1117">
        <f ca="1">IFERROR(+'SALDO SAL VNQ'!CH24-'SAL SALDO'!F142,0)</f>
        <v>0</v>
      </c>
      <c r="G143" s="989"/>
      <c r="H143" s="989"/>
      <c r="I143" s="989"/>
      <c r="J143" s="989"/>
      <c r="K143" s="989"/>
      <c r="L143" s="989"/>
      <c r="M143" s="989"/>
      <c r="N143" s="989"/>
      <c r="O143" s="989"/>
      <c r="P143" s="989"/>
      <c r="Q143" s="989"/>
      <c r="R143" s="989"/>
      <c r="S143" s="989"/>
      <c r="T143" s="989"/>
    </row>
    <row r="144" spans="1:20" ht="15.75" customHeight="1" x14ac:dyDescent="0.35">
      <c r="A144" s="989"/>
      <c r="B144" s="2208" t="s">
        <v>2276</v>
      </c>
      <c r="C144" s="2208"/>
      <c r="D144" s="2208"/>
      <c r="E144" s="2235"/>
      <c r="F144" s="1117">
        <f ca="1">+IF(Anagrafica!$G$2="Capo II",I134,I130)</f>
        <v>0</v>
      </c>
      <c r="G144" s="989"/>
      <c r="H144" s="989"/>
      <c r="I144" s="989"/>
      <c r="J144" s="989"/>
      <c r="K144" s="989"/>
      <c r="L144" s="989"/>
      <c r="M144" s="989"/>
      <c r="N144" s="989"/>
      <c r="O144" s="989"/>
      <c r="P144" s="989"/>
      <c r="Q144" s="989"/>
      <c r="R144" s="989"/>
      <c r="S144" s="989"/>
      <c r="T144" s="989"/>
    </row>
    <row r="145" spans="1:20" ht="15.75" customHeight="1" thickBot="1" x14ac:dyDescent="0.4">
      <c r="A145" s="989"/>
      <c r="B145" s="2208" t="s">
        <v>2277</v>
      </c>
      <c r="C145" s="2208"/>
      <c r="D145" s="2208"/>
      <c r="E145" s="2208"/>
      <c r="F145" s="1117">
        <f ca="1">IFERROR(+'SALDO SAL VNQ'!CI24,0)</f>
        <v>0</v>
      </c>
      <c r="G145" s="989"/>
      <c r="H145" s="989"/>
      <c r="I145" s="989"/>
      <c r="J145" s="989"/>
      <c r="K145" s="989"/>
      <c r="L145" s="989"/>
      <c r="M145" s="989"/>
      <c r="N145" s="989"/>
      <c r="O145" s="989"/>
      <c r="P145" s="989"/>
      <c r="Q145" s="989"/>
      <c r="R145" s="989"/>
      <c r="S145" s="989"/>
      <c r="T145" s="989"/>
    </row>
    <row r="146" spans="1:20" ht="15" thickBot="1" x14ac:dyDescent="0.4">
      <c r="A146" s="989"/>
      <c r="B146" s="2231" t="s">
        <v>2278</v>
      </c>
      <c r="C146" s="2231"/>
      <c r="D146" s="2231"/>
      <c r="E146" s="2231"/>
      <c r="F146" s="1118">
        <f ca="1">+F145+F143</f>
        <v>0</v>
      </c>
      <c r="G146" s="989"/>
      <c r="H146" s="989"/>
      <c r="I146" s="989"/>
      <c r="J146" s="989"/>
      <c r="K146" s="989"/>
      <c r="L146" s="989"/>
      <c r="M146" s="989"/>
      <c r="N146" s="989"/>
      <c r="O146" s="989"/>
      <c r="P146" s="989"/>
      <c r="Q146" s="989"/>
      <c r="R146" s="989"/>
      <c r="S146" s="989"/>
      <c r="T146" s="989"/>
    </row>
    <row r="147" spans="1:20" ht="15" thickBot="1" x14ac:dyDescent="0.4">
      <c r="A147" s="989"/>
      <c r="B147" s="989"/>
      <c r="C147" s="989"/>
      <c r="D147" s="989"/>
      <c r="E147" s="989"/>
      <c r="F147" s="989"/>
      <c r="G147" s="989"/>
      <c r="H147" s="2161" t="s">
        <v>2165</v>
      </c>
      <c r="I147" s="2162"/>
      <c r="J147" s="1203"/>
      <c r="K147" s="989"/>
      <c r="L147" s="989"/>
      <c r="M147" s="989"/>
      <c r="N147" s="989"/>
      <c r="O147" s="989"/>
      <c r="P147" s="989"/>
      <c r="Q147" s="989"/>
      <c r="R147" s="989"/>
      <c r="S147" s="989"/>
      <c r="T147" s="989"/>
    </row>
    <row r="148" spans="1:20" ht="15" thickBot="1" x14ac:dyDescent="0.4">
      <c r="A148" s="989"/>
      <c r="B148" s="989"/>
      <c r="C148" s="989"/>
      <c r="D148" s="989"/>
      <c r="E148" s="989"/>
      <c r="F148" s="989"/>
      <c r="G148" s="989"/>
      <c r="H148" s="2161" t="s">
        <v>2166</v>
      </c>
      <c r="I148" s="2162"/>
      <c r="J148" s="1203"/>
      <c r="K148" s="989"/>
      <c r="L148" s="989"/>
      <c r="M148" s="989"/>
      <c r="N148" s="989"/>
      <c r="O148" s="989"/>
      <c r="P148" s="989"/>
      <c r="Q148" s="989"/>
      <c r="R148" s="989"/>
      <c r="S148" s="989"/>
      <c r="T148" s="989"/>
    </row>
    <row r="149" spans="1:20" ht="15" thickBot="1" x14ac:dyDescent="0.4">
      <c r="A149" s="989"/>
      <c r="B149" s="989"/>
      <c r="C149" s="989"/>
      <c r="D149" s="989"/>
      <c r="E149" s="989"/>
      <c r="F149" s="989"/>
      <c r="G149" s="989"/>
      <c r="H149" s="2194" t="s">
        <v>2167</v>
      </c>
      <c r="I149" s="2195"/>
      <c r="J149" s="1203"/>
      <c r="K149" s="989"/>
      <c r="L149" s="989"/>
      <c r="M149" s="989"/>
      <c r="N149" s="989"/>
      <c r="O149" s="989"/>
      <c r="P149" s="989"/>
      <c r="Q149" s="989"/>
      <c r="R149" s="989"/>
      <c r="S149" s="989"/>
      <c r="T149" s="989"/>
    </row>
    <row r="150" spans="1:20" x14ac:dyDescent="0.35">
      <c r="A150" s="989"/>
      <c r="B150" s="989"/>
      <c r="C150" s="989"/>
      <c r="D150" s="989"/>
      <c r="E150" s="989"/>
      <c r="F150" s="989"/>
      <c r="G150" s="989"/>
      <c r="H150" s="989"/>
      <c r="I150" s="989"/>
      <c r="J150" s="989"/>
      <c r="K150" s="989"/>
      <c r="L150" s="989"/>
      <c r="M150" s="989"/>
      <c r="N150" s="989"/>
      <c r="O150" s="989"/>
      <c r="P150" s="989"/>
      <c r="Q150" s="989"/>
      <c r="R150" s="989"/>
      <c r="S150" s="989"/>
      <c r="T150" s="989"/>
    </row>
    <row r="151" spans="1:20" x14ac:dyDescent="0.35">
      <c r="A151" s="989"/>
      <c r="B151" s="989"/>
      <c r="C151" s="989"/>
      <c r="D151" s="989"/>
      <c r="E151" s="989"/>
      <c r="F151" s="989"/>
      <c r="G151" s="989"/>
      <c r="H151" s="989"/>
      <c r="I151" s="989"/>
      <c r="J151" s="989"/>
      <c r="K151" s="989"/>
      <c r="L151" s="989"/>
      <c r="M151" s="989"/>
      <c r="N151" s="989"/>
      <c r="O151" s="989"/>
      <c r="P151" s="989"/>
      <c r="Q151" s="989"/>
      <c r="R151" s="989"/>
      <c r="S151" s="989"/>
      <c r="T151" s="989"/>
    </row>
    <row r="152" spans="1:20" x14ac:dyDescent="0.35">
      <c r="A152" s="989"/>
      <c r="B152" s="989"/>
      <c r="C152" s="989"/>
      <c r="D152" s="989"/>
      <c r="E152" s="989"/>
      <c r="F152" s="989"/>
      <c r="G152" s="989"/>
      <c r="H152" s="989"/>
      <c r="I152" s="989"/>
      <c r="J152" s="989"/>
      <c r="K152" s="989"/>
      <c r="L152" s="989"/>
      <c r="M152" s="989"/>
      <c r="N152" s="989"/>
      <c r="O152" s="989"/>
      <c r="P152" s="989"/>
      <c r="Q152" s="989"/>
      <c r="R152" s="989"/>
      <c r="S152" s="989"/>
      <c r="T152" s="989"/>
    </row>
    <row r="153" spans="1:20" x14ac:dyDescent="0.35">
      <c r="A153" s="989"/>
      <c r="B153" s="989"/>
      <c r="C153" s="989"/>
      <c r="D153" s="989"/>
      <c r="E153" s="989"/>
      <c r="F153" s="989"/>
      <c r="G153" s="989"/>
      <c r="H153" s="989"/>
      <c r="I153" s="989"/>
      <c r="J153" s="989"/>
      <c r="K153" s="989"/>
      <c r="L153" s="989"/>
      <c r="M153" s="989"/>
      <c r="N153" s="989"/>
      <c r="O153" s="989"/>
      <c r="P153" s="989"/>
      <c r="Q153" s="989"/>
      <c r="R153" s="989"/>
      <c r="S153" s="989"/>
      <c r="T153" s="989"/>
    </row>
    <row r="154" spans="1:20" x14ac:dyDescent="0.35">
      <c r="A154" s="989"/>
      <c r="B154" s="989"/>
      <c r="C154" s="989"/>
      <c r="D154" s="989"/>
      <c r="E154" s="989"/>
      <c r="F154" s="989"/>
      <c r="G154" s="989"/>
      <c r="H154" s="989"/>
      <c r="I154" s="989"/>
      <c r="J154" s="989"/>
      <c r="K154" s="989"/>
      <c r="L154" s="989"/>
      <c r="M154" s="989"/>
      <c r="N154" s="989"/>
      <c r="O154" s="989"/>
      <c r="P154" s="989"/>
      <c r="Q154" s="989"/>
      <c r="R154" s="989"/>
      <c r="S154" s="989"/>
      <c r="T154" s="989"/>
    </row>
    <row r="155" spans="1:20" x14ac:dyDescent="0.35">
      <c r="A155" s="989"/>
      <c r="B155" s="989"/>
      <c r="C155" s="989"/>
      <c r="D155" s="989"/>
      <c r="E155" s="989"/>
      <c r="F155" s="989"/>
      <c r="G155" s="989"/>
      <c r="H155" s="989"/>
      <c r="I155" s="989"/>
      <c r="J155" s="989"/>
      <c r="K155" s="989"/>
      <c r="L155" s="989"/>
      <c r="M155" s="989"/>
      <c r="N155" s="989"/>
      <c r="O155" s="989"/>
      <c r="P155" s="989"/>
      <c r="Q155" s="989"/>
      <c r="R155" s="989"/>
      <c r="S155" s="989"/>
      <c r="T155" s="989"/>
    </row>
    <row r="156" spans="1:20" x14ac:dyDescent="0.35">
      <c r="A156" s="989"/>
      <c r="B156" s="989"/>
      <c r="C156" s="989"/>
      <c r="D156" s="989"/>
      <c r="E156" s="989"/>
      <c r="F156" s="989"/>
      <c r="G156" s="989"/>
      <c r="H156" s="989"/>
      <c r="I156" s="989"/>
      <c r="J156" s="989"/>
      <c r="K156" s="989"/>
      <c r="L156" s="989"/>
      <c r="M156" s="989"/>
      <c r="N156" s="989"/>
      <c r="O156" s="989"/>
      <c r="P156" s="989"/>
      <c r="Q156" s="989"/>
      <c r="R156" s="989"/>
      <c r="S156" s="989"/>
      <c r="T156" s="989"/>
    </row>
    <row r="157" spans="1:20" x14ac:dyDescent="0.35">
      <c r="A157" s="989"/>
      <c r="B157" s="989"/>
      <c r="C157" s="989"/>
      <c r="D157" s="989"/>
      <c r="E157" s="989"/>
      <c r="F157" s="989"/>
      <c r="G157" s="989"/>
      <c r="H157" s="989"/>
      <c r="I157" s="989"/>
      <c r="J157" s="989"/>
      <c r="K157" s="989"/>
      <c r="L157" s="989"/>
      <c r="M157" s="989"/>
      <c r="N157" s="989"/>
      <c r="O157" s="989"/>
      <c r="P157" s="989"/>
      <c r="Q157" s="989"/>
      <c r="R157" s="989"/>
      <c r="S157" s="989"/>
      <c r="T157" s="989"/>
    </row>
    <row r="158" spans="1:20" x14ac:dyDescent="0.35">
      <c r="A158" s="989"/>
      <c r="B158" s="989"/>
      <c r="C158" s="989"/>
      <c r="D158" s="989"/>
      <c r="E158" s="989"/>
      <c r="F158" s="989"/>
      <c r="G158" s="989"/>
      <c r="H158" s="989"/>
      <c r="I158" s="989"/>
      <c r="J158" s="989"/>
      <c r="K158" s="989"/>
      <c r="L158" s="989"/>
      <c r="M158" s="989"/>
      <c r="N158" s="989"/>
      <c r="O158" s="989"/>
      <c r="P158" s="989"/>
      <c r="Q158" s="989"/>
      <c r="R158" s="989"/>
      <c r="S158" s="989"/>
      <c r="T158" s="989"/>
    </row>
    <row r="159" spans="1:20" x14ac:dyDescent="0.35">
      <c r="A159" s="989"/>
      <c r="B159" s="989"/>
      <c r="C159" s="989"/>
      <c r="D159" s="989"/>
      <c r="E159" s="989"/>
      <c r="F159" s="989"/>
      <c r="G159" s="989"/>
      <c r="H159" s="989"/>
      <c r="I159" s="989"/>
      <c r="J159" s="989"/>
      <c r="K159" s="989"/>
      <c r="L159" s="989"/>
      <c r="M159" s="989"/>
      <c r="N159" s="989"/>
      <c r="O159" s="989"/>
      <c r="P159" s="989"/>
      <c r="Q159" s="989"/>
      <c r="R159" s="989"/>
      <c r="S159" s="989"/>
      <c r="T159" s="989"/>
    </row>
    <row r="160" spans="1:20" x14ac:dyDescent="0.35">
      <c r="A160" s="989"/>
      <c r="B160" s="989"/>
      <c r="C160" s="989"/>
      <c r="D160" s="989"/>
      <c r="E160" s="989"/>
      <c r="F160" s="989"/>
      <c r="G160" s="989"/>
      <c r="H160" s="989"/>
      <c r="I160" s="989"/>
      <c r="J160" s="989"/>
      <c r="K160" s="989"/>
      <c r="L160" s="989"/>
      <c r="M160" s="989"/>
      <c r="N160" s="989"/>
      <c r="O160" s="989"/>
      <c r="P160" s="989"/>
      <c r="Q160" s="989"/>
      <c r="R160" s="989"/>
      <c r="S160" s="989"/>
      <c r="T160" s="989"/>
    </row>
    <row r="161" spans="1:20" x14ac:dyDescent="0.35">
      <c r="A161" s="989"/>
      <c r="B161" s="989"/>
      <c r="C161" s="989"/>
      <c r="D161" s="989"/>
      <c r="E161" s="989"/>
      <c r="F161" s="989"/>
      <c r="G161" s="989"/>
      <c r="H161" s="989"/>
      <c r="I161" s="989"/>
      <c r="J161" s="989"/>
      <c r="K161" s="989"/>
      <c r="L161" s="989"/>
      <c r="M161" s="989"/>
      <c r="N161" s="989"/>
      <c r="O161" s="989"/>
      <c r="P161" s="989"/>
      <c r="Q161" s="989"/>
      <c r="R161" s="989"/>
      <c r="S161" s="989"/>
      <c r="T161" s="989"/>
    </row>
    <row r="162" spans="1:20" x14ac:dyDescent="0.35">
      <c r="A162" s="989"/>
      <c r="B162" s="989"/>
      <c r="C162" s="989"/>
      <c r="D162" s="989"/>
      <c r="E162" s="989"/>
      <c r="F162" s="989"/>
      <c r="G162" s="989"/>
      <c r="H162" s="989"/>
      <c r="I162" s="989"/>
      <c r="J162" s="989"/>
      <c r="K162" s="989"/>
      <c r="L162" s="989"/>
      <c r="M162" s="989"/>
      <c r="N162" s="989"/>
      <c r="O162" s="989"/>
      <c r="P162" s="989"/>
      <c r="Q162" s="989"/>
      <c r="R162" s="989"/>
      <c r="S162" s="989"/>
      <c r="T162" s="989"/>
    </row>
    <row r="163" spans="1:20" x14ac:dyDescent="0.35">
      <c r="A163" s="989"/>
      <c r="B163" s="989"/>
      <c r="C163" s="989"/>
      <c r="D163" s="989"/>
      <c r="E163" s="989"/>
      <c r="F163" s="989"/>
      <c r="G163" s="989"/>
      <c r="H163" s="989"/>
      <c r="I163" s="989"/>
      <c r="J163" s="989"/>
      <c r="K163" s="989"/>
      <c r="L163" s="989"/>
      <c r="M163" s="989"/>
      <c r="N163" s="989"/>
      <c r="O163" s="989"/>
      <c r="P163" s="989"/>
      <c r="Q163" s="989"/>
      <c r="R163" s="989"/>
      <c r="S163" s="989"/>
      <c r="T163" s="989"/>
    </row>
    <row r="164" spans="1:20" x14ac:dyDescent="0.35">
      <c r="A164" s="989"/>
      <c r="B164" s="989"/>
      <c r="C164" s="989"/>
      <c r="D164" s="989"/>
      <c r="E164" s="989"/>
      <c r="F164" s="989"/>
      <c r="G164" s="989"/>
      <c r="H164" s="989"/>
      <c r="I164" s="989"/>
      <c r="J164" s="989"/>
      <c r="K164" s="989"/>
      <c r="L164" s="989"/>
      <c r="M164" s="989"/>
      <c r="N164" s="989"/>
      <c r="O164" s="989"/>
      <c r="P164" s="989"/>
      <c r="Q164" s="989"/>
      <c r="R164" s="989"/>
      <c r="S164" s="989"/>
      <c r="T164" s="989"/>
    </row>
    <row r="165" spans="1:20" s="989" customFormat="1" x14ac:dyDescent="0.35"/>
    <row r="166" spans="1:20" s="989" customFormat="1" x14ac:dyDescent="0.35"/>
    <row r="167" spans="1:20" s="989" customFormat="1" x14ac:dyDescent="0.35"/>
    <row r="168" spans="1:20" s="989" customFormat="1" x14ac:dyDescent="0.35"/>
    <row r="169" spans="1:20" s="989" customFormat="1" x14ac:dyDescent="0.35"/>
    <row r="170" spans="1:20" s="989" customFormat="1" x14ac:dyDescent="0.35"/>
    <row r="171" spans="1:20" s="989" customFormat="1" x14ac:dyDescent="0.35"/>
    <row r="172" spans="1:20" s="989" customFormat="1" x14ac:dyDescent="0.35"/>
    <row r="173" spans="1:20" s="989" customFormat="1" x14ac:dyDescent="0.35"/>
    <row r="174" spans="1:20" s="989" customFormat="1" x14ac:dyDescent="0.35"/>
    <row r="175" spans="1:20" s="989" customFormat="1" x14ac:dyDescent="0.35"/>
    <row r="176" spans="1:20" s="989" customFormat="1" x14ac:dyDescent="0.35"/>
    <row r="177" s="989" customFormat="1" x14ac:dyDescent="0.35"/>
    <row r="178" s="989" customFormat="1" x14ac:dyDescent="0.35"/>
    <row r="179" s="989" customFormat="1" x14ac:dyDescent="0.35"/>
    <row r="180" s="989" customFormat="1" x14ac:dyDescent="0.35"/>
  </sheetData>
  <mergeCells count="118">
    <mergeCell ref="J90:K90"/>
    <mergeCell ref="J91:K91"/>
    <mergeCell ref="Q68:R68"/>
    <mergeCell ref="Q69:R69"/>
    <mergeCell ref="Q70:R70"/>
    <mergeCell ref="Q71:R71"/>
    <mergeCell ref="Q72:R72"/>
    <mergeCell ref="Q73:R73"/>
    <mergeCell ref="J87:K87"/>
    <mergeCell ref="J88:K88"/>
    <mergeCell ref="J89:K89"/>
    <mergeCell ref="B142:E142"/>
    <mergeCell ref="B139:E139"/>
    <mergeCell ref="B113:K113"/>
    <mergeCell ref="B119:T119"/>
    <mergeCell ref="C124:D124"/>
    <mergeCell ref="E124:I124"/>
    <mergeCell ref="B96:K96"/>
    <mergeCell ref="B97:K97"/>
    <mergeCell ref="B101:T101"/>
    <mergeCell ref="B137:E137"/>
    <mergeCell ref="B138:E138"/>
    <mergeCell ref="B2:K2"/>
    <mergeCell ref="C4:F4"/>
    <mergeCell ref="B6:G6"/>
    <mergeCell ref="H6:K6"/>
    <mergeCell ref="B8:K8"/>
    <mergeCell ref="B76:R76"/>
    <mergeCell ref="B77:R77"/>
    <mergeCell ref="B79:R79"/>
    <mergeCell ref="B78:R78"/>
    <mergeCell ref="B37:E37"/>
    <mergeCell ref="G37:I37"/>
    <mergeCell ref="B39:E39"/>
    <mergeCell ref="B10:B11"/>
    <mergeCell ref="C10:K11"/>
    <mergeCell ref="C13:D13"/>
    <mergeCell ref="G13:K13"/>
    <mergeCell ref="C15:K15"/>
    <mergeCell ref="B26:B28"/>
    <mergeCell ref="B36:E36"/>
    <mergeCell ref="G36:I36"/>
    <mergeCell ref="B16:K16"/>
    <mergeCell ref="B20:K20"/>
    <mergeCell ref="B21:K21"/>
    <mergeCell ref="B22:K24"/>
    <mergeCell ref="G33:I33"/>
    <mergeCell ref="B34:I34"/>
    <mergeCell ref="B35:E35"/>
    <mergeCell ref="G35:I35"/>
    <mergeCell ref="B30:I30"/>
    <mergeCell ref="B31:E31"/>
    <mergeCell ref="G31:I31"/>
    <mergeCell ref="B32:E32"/>
    <mergeCell ref="G32:I32"/>
    <mergeCell ref="B33:E33"/>
    <mergeCell ref="B42:E42"/>
    <mergeCell ref="G42:I42"/>
    <mergeCell ref="B43:E43"/>
    <mergeCell ref="G43:I43"/>
    <mergeCell ref="B45:E45"/>
    <mergeCell ref="G45:I45"/>
    <mergeCell ref="G39:I39"/>
    <mergeCell ref="B40:E40"/>
    <mergeCell ref="G40:I40"/>
    <mergeCell ref="B41:E41"/>
    <mergeCell ref="G41:I41"/>
    <mergeCell ref="B44:E44"/>
    <mergeCell ref="G44:I44"/>
    <mergeCell ref="B46:I46"/>
    <mergeCell ref="B47:E47"/>
    <mergeCell ref="G47:I47"/>
    <mergeCell ref="B48:E48"/>
    <mergeCell ref="B49:E49"/>
    <mergeCell ref="B50:E50"/>
    <mergeCell ref="B51:E51"/>
    <mergeCell ref="B52:E52"/>
    <mergeCell ref="B53:E53"/>
    <mergeCell ref="G48:I48"/>
    <mergeCell ref="G49:I49"/>
    <mergeCell ref="G50:I50"/>
    <mergeCell ref="G51:I51"/>
    <mergeCell ref="G52:I52"/>
    <mergeCell ref="G53:I53"/>
    <mergeCell ref="B56:E56"/>
    <mergeCell ref="G56:I56"/>
    <mergeCell ref="B57:E57"/>
    <mergeCell ref="G57:I57"/>
    <mergeCell ref="B58:E58"/>
    <mergeCell ref="G58:I58"/>
    <mergeCell ref="B54:E54"/>
    <mergeCell ref="G54:I54"/>
    <mergeCell ref="B55:E55"/>
    <mergeCell ref="G55:I55"/>
    <mergeCell ref="H147:I147"/>
    <mergeCell ref="H148:I148"/>
    <mergeCell ref="H149:I149"/>
    <mergeCell ref="B145:E145"/>
    <mergeCell ref="B146:E146"/>
    <mergeCell ref="B59:E59"/>
    <mergeCell ref="G59:I59"/>
    <mergeCell ref="B60:E60"/>
    <mergeCell ref="G60:I60"/>
    <mergeCell ref="B61:E61"/>
    <mergeCell ref="G61:I61"/>
    <mergeCell ref="B110:K110"/>
    <mergeCell ref="B111:K111"/>
    <mergeCell ref="B112:K112"/>
    <mergeCell ref="B83:D83"/>
    <mergeCell ref="B84:D84"/>
    <mergeCell ref="B94:K94"/>
    <mergeCell ref="B95:K95"/>
    <mergeCell ref="B64:T64"/>
    <mergeCell ref="B80:R80"/>
    <mergeCell ref="B143:E143"/>
    <mergeCell ref="B144:E144"/>
    <mergeCell ref="B140:E140"/>
    <mergeCell ref="B141:E141"/>
  </mergeCells>
  <conditionalFormatting sqref="E107">
    <cfRule type="expression" dxfId="33" priority="19">
      <formula>IF(SUMIFS(Imponibilesal3,Quietanzasal3,"NO")&gt;$E$107,1,0)</formula>
    </cfRule>
  </conditionalFormatting>
  <dataValidations count="9">
    <dataValidation type="list" allowBlank="1" showInputMessage="1" showErrorMessage="1" sqref="E82" xr:uid="{7DED4EA9-1CDC-44B8-B9C6-DF00D3F5636C}">
      <formula1>"SI,NO"</formula1>
    </dataValidation>
    <dataValidation errorStyle="warning" operator="lessThanOrEqual" allowBlank="1" showInputMessage="1" showErrorMessage="1" errorTitle="Superamento Livello anticipo" error="Il valore richiesto è superiore al 40% previsto dalla normativa" sqref="E17" xr:uid="{4E5098CD-84DE-49FC-92F2-835242E9DD6A}"/>
    <dataValidation operator="greaterThan" allowBlank="1" showInputMessage="1" showErrorMessage="1" errorTitle="prova" error="prova" sqref="D17" xr:uid="{88E99389-AE8D-4435-868F-AFFC51279BB9}"/>
    <dataValidation type="decimal" operator="greaterThan" allowBlank="1" showInputMessage="1" showErrorMessage="1" errorTitle="prova" error="prova" sqref="C17" xr:uid="{8ED5418E-CAAC-4029-929F-CDC60ADD9DA6}">
      <formula1>K17*0.1</formula1>
    </dataValidation>
    <dataValidation type="list" allowBlank="1" showInputMessage="1" showErrorMessage="1" sqref="H104:J106 F36:F37 H88:J90 F33 M69:P72" xr:uid="{DE981023-66DE-4441-9CC1-E2F2546C8646}">
      <formula1>"Si,No"</formula1>
    </dataValidation>
    <dataValidation type="decimal" operator="lessThanOrEqual" allowBlank="1" showInputMessage="1" showErrorMessage="1" sqref="E83" xr:uid="{F7D2EADA-3EB1-4914-99AD-814BBAC5694B}">
      <formula1>K73*0.2</formula1>
    </dataValidation>
    <dataValidation type="list" allowBlank="1" showInputMessage="1" showErrorMessage="1" sqref="F32" xr:uid="{C8017172-C647-4A57-9E3A-5B57035878EE}">
      <formula1>"Si,No,"</formula1>
    </dataValidation>
    <dataValidation type="list" allowBlank="1" showInputMessage="1" showErrorMessage="1" sqref="F40:F45 F48:F61" xr:uid="{3507E3CB-93F2-4525-AF89-D9E500CA7E2A}">
      <formula1>"Si,No,Non neces."</formula1>
    </dataValidation>
    <dataValidation type="list" allowBlank="1" showInputMessage="1" showErrorMessage="1" sqref="H27:H28" xr:uid="{B28ABD27-FEFE-4A08-A49A-BD2F1ED3D273}">
      <formula1>"Digitale,Cartacea"</formula1>
    </dataValidation>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expression" priority="27" id="{0F4B8DB8-7CBF-40D0-A84B-E27E9883FCE4}">
            <xm:f>+IF(Anagrafica!$G$2="Capo III",1,0)</xm:f>
            <x14:dxf>
              <font>
                <b/>
                <i val="0"/>
              </font>
              <fill>
                <patternFill>
                  <bgColor theme="8" tint="0.59996337778862885"/>
                </patternFill>
              </fill>
              <border>
                <top style="thin">
                  <color auto="1"/>
                </top>
                <bottom style="thin">
                  <color auto="1"/>
                </bottom>
              </border>
            </x14:dxf>
          </x14:cfRule>
          <xm:sqref>B130</xm:sqref>
        </x14:conditionalFormatting>
        <x14:conditionalFormatting xmlns:xm="http://schemas.microsoft.com/office/excel/2006/main">
          <x14:cfRule type="expression" priority="24" id="{31DD5CA2-C7C4-4442-91E0-18CA3FC88BC5}">
            <xm:f>+IF(Anagrafica!$G$2="Capo III",1,0)</xm:f>
            <x14:dxf>
              <fill>
                <patternFill>
                  <bgColor theme="8" tint="0.59996337778862885"/>
                </patternFill>
              </fill>
            </x14:dxf>
          </x14:cfRule>
          <xm:sqref>C130:I130</xm:sqref>
        </x14:conditionalFormatting>
        <x14:conditionalFormatting xmlns:xm="http://schemas.microsoft.com/office/excel/2006/main">
          <x14:cfRule type="expression" priority="18" id="{D5BA9806-B66B-443F-8D50-64B1CE653F01}">
            <xm:f>+IF(Anagrafica!$G$2="Capo III",1,0)</xm:f>
            <x14:dxf>
              <font>
                <color theme="0"/>
              </font>
              <fill>
                <patternFill>
                  <bgColor theme="0"/>
                </patternFill>
              </fill>
              <border>
                <left/>
                <right/>
                <top/>
                <bottom/>
                <vertical/>
                <horizontal/>
              </border>
            </x14:dxf>
          </x14:cfRule>
          <xm:sqref>B132:J134 B131:I131</xm:sqref>
        </x14:conditionalFormatting>
        <x14:conditionalFormatting xmlns:xm="http://schemas.microsoft.com/office/excel/2006/main">
          <x14:cfRule type="expression" priority="17" id="{E2B4D507-63FD-49FD-8ABC-5C86AB3062B2}">
            <xm:f>+IF(Anagrafica!$G$2="Capo III",1,0)</xm:f>
            <x14:dxf>
              <border>
                <left/>
                <right/>
                <top style="thin">
                  <color auto="1"/>
                </top>
                <bottom/>
                <vertical/>
                <horizontal/>
              </border>
            </x14:dxf>
          </x14:cfRule>
          <xm:sqref>B131:I131</xm:sqref>
        </x14:conditionalFormatting>
        <x14:conditionalFormatting xmlns:xm="http://schemas.microsoft.com/office/excel/2006/main">
          <x14:cfRule type="expression" priority="6" id="{38044046-5ED1-4DFD-A1AB-1B11B7CBB362}">
            <xm:f>IF(Anagrafica!$C$38&lt;=150000,1,0)</xm:f>
            <x14:dxf>
              <font>
                <color theme="0"/>
              </font>
              <fill>
                <patternFill>
                  <bgColor theme="0"/>
                </patternFill>
              </fill>
              <border>
                <left/>
                <right/>
                <top/>
                <bottom/>
              </border>
            </x14:dxf>
          </x14:cfRule>
          <xm:sqref>B30:I33</xm:sqref>
        </x14:conditionalFormatting>
        <x14:conditionalFormatting xmlns:xm="http://schemas.microsoft.com/office/excel/2006/main">
          <x14:cfRule type="expression" priority="3" id="{5DE9B476-4E23-4C48-8D7B-ADCE1C54D5DC}">
            <xm:f>+IF(Anagrafica!$C$42&lt;&gt;"n.a.",1,0)</xm:f>
            <x14:dxf>
              <border>
                <top style="dashed">
                  <color auto="1"/>
                </top>
                <vertical/>
                <horizontal/>
              </border>
            </x14:dxf>
          </x14:cfRule>
          <x14:cfRule type="expression" priority="5" id="{C2D479A6-A73F-47B3-84AB-231DBB9E0FA5}">
            <xm:f>+IF(Anagrafica!$C$42="n.a.",1,0)</xm:f>
            <x14:dxf>
              <font>
                <color theme="0"/>
              </font>
              <fill>
                <patternFill>
                  <bgColor theme="0"/>
                </patternFill>
              </fill>
              <border>
                <left/>
                <right/>
              </border>
            </x14:dxf>
          </x14:cfRule>
          <xm:sqref>B37:I37</xm:sqref>
        </x14:conditionalFormatting>
        <x14:conditionalFormatting xmlns:xm="http://schemas.microsoft.com/office/excel/2006/main">
          <x14:cfRule type="expression" priority="4" id="{54943F7C-BFA5-4EBD-98A7-1C8FBC659691}">
            <xm:f>+IF(AND(Anagrafica!$C$41="n.a.",Anagrafica!$C$42="n.a."),1,0)</xm:f>
            <x14:dxf>
              <font>
                <color theme="0"/>
              </font>
              <fill>
                <patternFill>
                  <bgColor theme="0"/>
                </patternFill>
              </fill>
              <border>
                <left/>
                <right/>
                <bottom/>
                <vertical/>
                <horizontal/>
              </border>
            </x14:dxf>
          </x14:cfRule>
          <xm:sqref>B34:I37</xm:sqref>
        </x14:conditionalFormatting>
        <x14:conditionalFormatting xmlns:xm="http://schemas.microsoft.com/office/excel/2006/main">
          <x14:cfRule type="expression" priority="2" id="{01E86CCA-9EB4-4F6B-B387-0FD048B2BAD6}">
            <xm:f>+IF(AND(Anagrafica!$C$41="n.a.",Anagrafica!$C$42="n.a."),1,0)</xm:f>
            <x14:dxf>
              <font>
                <color theme="0"/>
              </font>
              <fill>
                <patternFill>
                  <bgColor theme="0"/>
                </patternFill>
              </fill>
              <border>
                <left/>
                <right/>
                <top/>
                <bottom/>
                <vertical/>
                <horizontal/>
              </border>
            </x14:dxf>
          </x14:cfRule>
          <xm:sqref>B26:J28</xm:sqref>
        </x14:conditionalFormatting>
        <x14:conditionalFormatting xmlns:xm="http://schemas.microsoft.com/office/excel/2006/main">
          <x14:cfRule type="expression" priority="1" id="{B21353B2-250C-4763-9663-6C17216C7743}">
            <xm:f>+IF(Anagrafica!$C$42="n.a.",1,0)</xm:f>
            <x14:dxf>
              <font>
                <color theme="0"/>
              </font>
              <fill>
                <patternFill>
                  <bgColor theme="0"/>
                </patternFill>
              </fill>
              <border>
                <right/>
                <bottom/>
              </border>
            </x14:dxf>
          </x14:cfRule>
          <xm:sqref>C28:J28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3534F2D1-A29B-4909-A904-CA9531866243}">
          <x14:formula1>
            <xm:f>IF('Dati riepilogativi'!$B$2="Capo II",CAPOII_Att,CapoIII_ATT)</xm:f>
          </x14:formula1>
          <xm:sqref>I69:I72</xm:sqref>
        </x14:dataValidation>
      </x14:dataValidations>
    </ext>
  </extLst>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220DE-287B-4DC6-A4AC-AD34484DAF02}">
  <sheetPr codeName="Foglio32"/>
  <dimension ref="A1:L58"/>
  <sheetViews>
    <sheetView topLeftCell="A18" zoomScaleNormal="100" workbookViewId="0">
      <selection activeCell="B16" sqref="B16"/>
    </sheetView>
  </sheetViews>
  <sheetFormatPr defaultRowHeight="14.5" x14ac:dyDescent="0.35"/>
  <cols>
    <col min="1" max="1" width="9.1796875" style="902"/>
    <col min="2" max="2" width="20.7265625" style="902" customWidth="1"/>
    <col min="3" max="3" width="10.54296875" style="902" customWidth="1"/>
    <col min="4" max="4" width="25.81640625" style="902" customWidth="1"/>
    <col min="5" max="5" width="10.453125" style="902" bestFit="1" customWidth="1"/>
    <col min="6" max="6" width="9.1796875" style="902"/>
    <col min="7" max="7" width="12" style="902" customWidth="1"/>
    <col min="8" max="8" width="17.453125" style="902" customWidth="1"/>
    <col min="12" max="12" width="13.26953125" bestFit="1" customWidth="1"/>
  </cols>
  <sheetData>
    <row r="1" spans="2:12" ht="15" thickBot="1" x14ac:dyDescent="0.4">
      <c r="B1" s="929" t="s">
        <v>2168</v>
      </c>
      <c r="C1" s="929"/>
      <c r="D1" s="929"/>
      <c r="E1" s="929"/>
      <c r="F1" s="929"/>
      <c r="G1" s="929"/>
      <c r="H1" s="929"/>
    </row>
    <row r="2" spans="2:12" ht="15" thickBot="1" x14ac:dyDescent="0.4">
      <c r="B2" s="2065" t="s">
        <v>2169</v>
      </c>
      <c r="C2" s="2066"/>
      <c r="D2" s="2067"/>
      <c r="E2" s="930" t="s">
        <v>2170</v>
      </c>
      <c r="F2" s="929"/>
      <c r="G2" s="929"/>
      <c r="H2" s="929"/>
    </row>
    <row r="3" spans="2:12" x14ac:dyDescent="0.35">
      <c r="B3" s="929"/>
      <c r="C3" s="929"/>
      <c r="D3" s="929"/>
      <c r="E3" s="929"/>
      <c r="F3" s="929"/>
      <c r="G3" s="929"/>
      <c r="H3" s="929"/>
    </row>
    <row r="4" spans="2:12" ht="15.5" x14ac:dyDescent="0.35">
      <c r="B4" s="903" t="str">
        <f>+CONCATENATE("Mandato di Erogazione SAL A SALDO PROT. ",C7)</f>
        <v>Mandato di Erogazione SAL A SALDO PROT. 0</v>
      </c>
      <c r="E4" s="931"/>
    </row>
    <row r="5" spans="2:12" x14ac:dyDescent="0.35">
      <c r="B5" s="902" t="s">
        <v>2171</v>
      </c>
    </row>
    <row r="6" spans="2:12" ht="15" thickBot="1" x14ac:dyDescent="0.4"/>
    <row r="7" spans="2:12" x14ac:dyDescent="0.35">
      <c r="B7" s="904" t="s">
        <v>2172</v>
      </c>
      <c r="C7" s="2068">
        <f>+Anagrafica!C2</f>
        <v>0</v>
      </c>
      <c r="D7" s="2068"/>
      <c r="E7" s="2068"/>
      <c r="F7" s="2068"/>
      <c r="G7" s="2068"/>
      <c r="H7" s="2069"/>
    </row>
    <row r="8" spans="2:12" x14ac:dyDescent="0.35">
      <c r="B8" s="905" t="s">
        <v>2173</v>
      </c>
      <c r="C8" s="2070">
        <f>+Anagrafica!C17</f>
        <v>0</v>
      </c>
      <c r="D8" s="2070"/>
      <c r="E8" s="2070"/>
      <c r="F8" s="2070"/>
      <c r="G8" s="2070"/>
      <c r="H8" s="2071"/>
    </row>
    <row r="9" spans="2:12" x14ac:dyDescent="0.35">
      <c r="B9" s="905" t="s">
        <v>2174</v>
      </c>
      <c r="C9" s="2070">
        <f>+Anagrafica!C18</f>
        <v>0</v>
      </c>
      <c r="D9" s="2070"/>
      <c r="E9" s="2070"/>
      <c r="F9" s="2070"/>
      <c r="G9" s="2070"/>
      <c r="H9" s="2071"/>
    </row>
    <row r="10" spans="2:12" x14ac:dyDescent="0.35">
      <c r="B10" s="905" t="s">
        <v>2175</v>
      </c>
      <c r="C10" s="2070">
        <f>+Anagrafica!C9</f>
        <v>0</v>
      </c>
      <c r="D10" s="2070"/>
      <c r="E10" s="2070"/>
      <c r="F10" s="2070"/>
      <c r="G10" s="2070"/>
      <c r="H10" s="2071"/>
    </row>
    <row r="11" spans="2:12" ht="29" x14ac:dyDescent="0.35">
      <c r="B11" s="1121" t="s">
        <v>2264</v>
      </c>
      <c r="C11" s="2223" t="str">
        <f>+Anagrafica!C24</f>
        <v>NIT2 - Fondo Unico - NIT 2.0</v>
      </c>
      <c r="D11" s="2224"/>
      <c r="E11" s="2224"/>
      <c r="F11" s="2224"/>
      <c r="G11" s="2224"/>
      <c r="H11" s="2225"/>
    </row>
    <row r="12" spans="2:12" ht="29.5" thickBot="1" x14ac:dyDescent="0.4">
      <c r="B12" s="906" t="s">
        <v>2265</v>
      </c>
      <c r="C12" s="2220" t="str">
        <f>+Anagrafica!C25</f>
        <v>NIT2 - NIT 2.0 - Fondo perduto</v>
      </c>
      <c r="D12" s="2221"/>
      <c r="E12" s="2221"/>
      <c r="F12" s="2221"/>
      <c r="G12" s="2221"/>
      <c r="H12" s="2222"/>
    </row>
    <row r="14" spans="2:12" x14ac:dyDescent="0.35">
      <c r="B14" s="2074" t="s">
        <v>2320</v>
      </c>
      <c r="C14" s="2074"/>
      <c r="D14" s="2074"/>
      <c r="E14" s="2074"/>
      <c r="F14" s="2074"/>
      <c r="G14" s="2074"/>
      <c r="H14" s="2074"/>
    </row>
    <row r="15" spans="2:12" ht="21" customHeight="1" thickBot="1" x14ac:dyDescent="0.4">
      <c r="B15" s="2075"/>
      <c r="C15" s="2075"/>
      <c r="D15" s="2075"/>
      <c r="E15" s="2075"/>
      <c r="F15" s="2075"/>
      <c r="G15" s="2075"/>
      <c r="H15" s="2075"/>
    </row>
    <row r="16" spans="2:12" x14ac:dyDescent="0.35">
      <c r="B16" s="904" t="s">
        <v>2178</v>
      </c>
      <c r="C16" s="2076">
        <f ca="1">+'SAL SALDO'!F146</f>
        <v>0</v>
      </c>
      <c r="D16" s="2076"/>
      <c r="E16" s="2076"/>
      <c r="F16" s="2076"/>
      <c r="G16" s="2076"/>
      <c r="H16" s="2077"/>
      <c r="L16" s="813"/>
    </row>
    <row r="17" spans="2:8" ht="15" thickBot="1" x14ac:dyDescent="0.4">
      <c r="B17" s="2078" t="e" cm="1">
        <f t="array" aca="1" ref="B17" ca="1">+NumToLet(C16)</f>
        <v>#NAME?</v>
      </c>
      <c r="C17" s="2079"/>
      <c r="D17" s="2079"/>
      <c r="E17" s="2079"/>
      <c r="F17" s="2079"/>
      <c r="G17" s="2079"/>
      <c r="H17" s="2080"/>
    </row>
    <row r="18" spans="2:8" x14ac:dyDescent="0.35">
      <c r="B18" s="904" t="s">
        <v>2266</v>
      </c>
      <c r="C18" s="2076">
        <f ca="1">+'SAL SALDO'!F143</f>
        <v>0</v>
      </c>
      <c r="D18" s="2076"/>
      <c r="E18" s="2076"/>
      <c r="F18" s="2076"/>
      <c r="G18" s="2076"/>
      <c r="H18" s="2077"/>
    </row>
    <row r="19" spans="2:8" ht="15" thickBot="1" x14ac:dyDescent="0.4">
      <c r="B19" s="2078" t="e" cm="1">
        <f t="array" aca="1" ref="B19" ca="1">+NumToLet(C18)</f>
        <v>#NAME?</v>
      </c>
      <c r="C19" s="2079"/>
      <c r="D19" s="2079"/>
      <c r="E19" s="2079"/>
      <c r="F19" s="2079"/>
      <c r="G19" s="2079"/>
      <c r="H19" s="2080"/>
    </row>
    <row r="20" spans="2:8" x14ac:dyDescent="0.35">
      <c r="B20" s="904" t="s">
        <v>2267</v>
      </c>
      <c r="C20" s="2076">
        <f ca="1">+'SAL SALDO'!F145</f>
        <v>0</v>
      </c>
      <c r="D20" s="2076"/>
      <c r="E20" s="2076"/>
      <c r="F20" s="2076"/>
      <c r="G20" s="2076"/>
      <c r="H20" s="2077"/>
    </row>
    <row r="21" spans="2:8" ht="15" thickBot="1" x14ac:dyDescent="0.4">
      <c r="B21" s="2078" t="e" cm="1">
        <f t="array" aca="1" ref="B21" ca="1">+NumToLet(C20)</f>
        <v>#NAME?</v>
      </c>
      <c r="C21" s="2079"/>
      <c r="D21" s="2079"/>
      <c r="E21" s="2079"/>
      <c r="F21" s="2079"/>
      <c r="G21" s="2079"/>
      <c r="H21" s="2080"/>
    </row>
    <row r="22" spans="2:8" ht="15" thickBot="1" x14ac:dyDescent="0.4">
      <c r="B22" s="907" t="s">
        <v>2179</v>
      </c>
    </row>
    <row r="23" spans="2:8" x14ac:dyDescent="0.35">
      <c r="B23" s="908" t="s">
        <v>1875</v>
      </c>
      <c r="C23" s="2081">
        <f>+Anagrafica!C6</f>
        <v>0</v>
      </c>
      <c r="D23" s="2081"/>
      <c r="E23" s="2081"/>
      <c r="F23" s="2081"/>
      <c r="G23" s="2081"/>
      <c r="H23" s="2082"/>
    </row>
    <row r="24" spans="2:8" x14ac:dyDescent="0.35">
      <c r="B24" s="909" t="s">
        <v>2180</v>
      </c>
      <c r="C24" s="2083">
        <f>+Anagrafica!C7</f>
        <v>0</v>
      </c>
      <c r="D24" s="2083"/>
      <c r="E24" s="2083"/>
      <c r="F24" s="2083"/>
      <c r="G24" s="2083"/>
      <c r="H24" s="2084"/>
    </row>
    <row r="25" spans="2:8" x14ac:dyDescent="0.35">
      <c r="B25" s="909" t="s">
        <v>628</v>
      </c>
      <c r="C25" s="2083" t="str">
        <f>+Anagrafica!C8</f>
        <v>ROMA</v>
      </c>
      <c r="D25" s="2083"/>
      <c r="E25" s="2083"/>
      <c r="F25" s="2083"/>
      <c r="G25" s="2083"/>
      <c r="H25" s="2084"/>
    </row>
    <row r="26" spans="2:8" x14ac:dyDescent="0.35">
      <c r="B26" s="909" t="s">
        <v>2181</v>
      </c>
      <c r="C26" s="2083">
        <f>+Anagrafica!H7</f>
        <v>0</v>
      </c>
      <c r="D26" s="2083"/>
      <c r="E26" s="2083"/>
      <c r="F26" s="2083"/>
      <c r="G26" s="2083"/>
      <c r="H26" s="2084"/>
    </row>
    <row r="27" spans="2:8" x14ac:dyDescent="0.35">
      <c r="B27" s="909" t="s">
        <v>630</v>
      </c>
      <c r="C27" s="2083" t="str">
        <f>+Anagrafica!H8</f>
        <v>RM</v>
      </c>
      <c r="D27" s="2083"/>
      <c r="E27" s="2083"/>
      <c r="F27" s="2083"/>
      <c r="G27" s="2083"/>
      <c r="H27" s="2084"/>
    </row>
    <row r="28" spans="2:8" x14ac:dyDescent="0.35">
      <c r="B28" s="909" t="s">
        <v>2182</v>
      </c>
      <c r="C28" s="2083">
        <f>+Anagrafica!C11</f>
        <v>0</v>
      </c>
      <c r="D28" s="2083"/>
      <c r="E28" s="2083"/>
      <c r="F28" s="2083"/>
      <c r="G28" s="2083"/>
      <c r="H28" s="2084"/>
    </row>
    <row r="29" spans="2:8" ht="15" thickBot="1" x14ac:dyDescent="0.4">
      <c r="B29" s="910" t="s">
        <v>2183</v>
      </c>
      <c r="C29" s="2085">
        <f>+Anagrafica!C10</f>
        <v>0</v>
      </c>
      <c r="D29" s="2085"/>
      <c r="E29" s="2085"/>
      <c r="F29" s="2085"/>
      <c r="G29" s="2085"/>
      <c r="H29" s="2086"/>
    </row>
    <row r="30" spans="2:8" x14ac:dyDescent="0.35">
      <c r="D30" s="911"/>
    </row>
    <row r="31" spans="2:8" ht="15" thickBot="1" x14ac:dyDescent="0.4">
      <c r="B31" s="907" t="s">
        <v>2184</v>
      </c>
      <c r="D31" s="911"/>
    </row>
    <row r="32" spans="2:8" x14ac:dyDescent="0.35">
      <c r="B32" s="908" t="s">
        <v>1875</v>
      </c>
      <c r="C32" s="2087" t="str">
        <f>+Anagrafica!C46</f>
        <v>BANCA SELLA</v>
      </c>
      <c r="D32" s="2087"/>
      <c r="E32" s="2087"/>
      <c r="F32" s="2087"/>
      <c r="G32" s="2087"/>
      <c r="H32" s="2088"/>
    </row>
    <row r="33" spans="1:8" x14ac:dyDescent="0.35">
      <c r="B33" s="909" t="s">
        <v>2097</v>
      </c>
      <c r="C33" s="2072" t="str">
        <f>+Anagrafica!C47</f>
        <v>AGENZIA 30</v>
      </c>
      <c r="D33" s="2072"/>
      <c r="E33" s="2072"/>
      <c r="F33" s="2072"/>
      <c r="G33" s="2072"/>
      <c r="H33" s="2073"/>
    </row>
    <row r="34" spans="1:8" ht="15" thickBot="1" x14ac:dyDescent="0.4">
      <c r="B34" s="912" t="s">
        <v>630</v>
      </c>
      <c r="C34" s="2089" t="str">
        <f>+Anagrafica!C48</f>
        <v>XXXXXXXXXXXXXX</v>
      </c>
      <c r="D34" s="2089"/>
      <c r="E34" s="2089"/>
      <c r="F34" s="2089"/>
      <c r="G34" s="2089"/>
      <c r="H34" s="2090"/>
    </row>
    <row r="35" spans="1:8" ht="15" thickBot="1" x14ac:dyDescent="0.4"/>
    <row r="36" spans="1:8" ht="15" thickBot="1" x14ac:dyDescent="0.4">
      <c r="A36" s="913"/>
      <c r="B36" s="913"/>
      <c r="C36" s="913"/>
      <c r="D36" s="914" t="s">
        <v>2088</v>
      </c>
      <c r="E36" s="915" t="s">
        <v>2089</v>
      </c>
      <c r="F36" s="915" t="s">
        <v>2090</v>
      </c>
      <c r="G36" s="915" t="s">
        <v>2091</v>
      </c>
      <c r="H36" s="916" t="s">
        <v>2092</v>
      </c>
    </row>
    <row r="37" spans="1:8" ht="15" thickBot="1" x14ac:dyDescent="0.4">
      <c r="A37" s="913"/>
      <c r="B37" s="914" t="s">
        <v>2093</v>
      </c>
      <c r="C37" s="917" t="s">
        <v>2094</v>
      </c>
      <c r="D37" s="918">
        <f>+Anagrafica!D50</f>
        <v>0</v>
      </c>
      <c r="E37" s="918">
        <f>+Anagrafica!E50</f>
        <v>0</v>
      </c>
      <c r="F37" s="918">
        <f>+Anagrafica!F50</f>
        <v>0</v>
      </c>
      <c r="G37" s="918">
        <f>+Anagrafica!G50</f>
        <v>0</v>
      </c>
      <c r="H37" s="919">
        <f>+Anagrafica!H50</f>
        <v>0</v>
      </c>
    </row>
    <row r="39" spans="1:8" ht="15" thickBot="1" x14ac:dyDescent="0.4">
      <c r="B39" s="612" t="str">
        <f ca="1">+IFERROR(+CONCATENATE(TEXT($C$18,"€ #.##0,00")," ", "da addebitare sul conto corrente della Fonte Finanziaria:"),"")</f>
        <v>€ 0,00 da addebitare sul conto corrente della Fonte Finanziaria:</v>
      </c>
    </row>
    <row r="40" spans="1:8" x14ac:dyDescent="0.35">
      <c r="B40" s="920" t="s">
        <v>2096</v>
      </c>
      <c r="C40" s="2091" t="str">
        <f ca="1">+IFERROR(+IF($C$18=0,"",VLOOKUP($C$11,'Fonti e cc'!$A$2:$I$5,2)),"")</f>
        <v/>
      </c>
      <c r="D40" s="2091"/>
      <c r="E40" s="2092"/>
    </row>
    <row r="41" spans="1:8" ht="15" thickBot="1" x14ac:dyDescent="0.4">
      <c r="B41" s="921" t="s">
        <v>2097</v>
      </c>
      <c r="C41" s="922" t="str">
        <f ca="1">+IFERROR(+IF($C$18=0,"",VLOOKUP($C$11,'Fonti e cc'!$A$2:$I$5,3)),"")</f>
        <v/>
      </c>
      <c r="D41" s="923" t="s">
        <v>2185</v>
      </c>
      <c r="E41" s="924" t="str">
        <f ca="1">+IFERROR(+IF($C$18=0,"","RM"),"")</f>
        <v/>
      </c>
    </row>
    <row r="42" spans="1:8" ht="15" thickBot="1" x14ac:dyDescent="0.4"/>
    <row r="43" spans="1:8" ht="15" thickBot="1" x14ac:dyDescent="0.4">
      <c r="B43" s="913"/>
      <c r="C43" s="913"/>
      <c r="D43" s="914" t="s">
        <v>2088</v>
      </c>
      <c r="E43" s="915" t="s">
        <v>2089</v>
      </c>
      <c r="F43" s="915" t="s">
        <v>2090</v>
      </c>
      <c r="G43" s="915" t="s">
        <v>2091</v>
      </c>
      <c r="H43" s="916" t="s">
        <v>2092</v>
      </c>
    </row>
    <row r="44" spans="1:8" ht="15" thickBot="1" x14ac:dyDescent="0.4">
      <c r="B44" s="914" t="s">
        <v>2093</v>
      </c>
      <c r="C44" s="917" t="s">
        <v>2094</v>
      </c>
      <c r="D44" s="918" t="str">
        <f ca="1">+IFERROR(+IF($C$18=0,"",VLOOKUP($C$11,'Fonti e cc'!$A$2:$I$5,5)),"")</f>
        <v/>
      </c>
      <c r="E44" s="918" t="str">
        <f ca="1">+IFERROR(+IF($C$18=0,"",VLOOKUP($C$11,'Fonti e cc'!$A$2:$I$5,6)),"")</f>
        <v/>
      </c>
      <c r="F44" s="918" t="str">
        <f ca="1">+IFERROR(+IF($C$18=0,"",VLOOKUP($C$11,'Fonti e cc'!$A$2:$I$5,7)),"")</f>
        <v/>
      </c>
      <c r="G44" s="918" t="str">
        <f ca="1">+IFERROR(+IF($C$18=0,"",VLOOKUP($C$11,'Fonti e cc'!$A$2:$I$5,8)),"")</f>
        <v/>
      </c>
      <c r="H44" s="919" t="str">
        <f ca="1">+IFERROR(+IF($C$18=0,"",VLOOKUP($C$11,'Fonti e cc'!$A$2:$I$5,9)),"")</f>
        <v/>
      </c>
    </row>
    <row r="45" spans="1:8" x14ac:dyDescent="0.35">
      <c r="B45" s="1164"/>
      <c r="C45" s="1184"/>
      <c r="D45" s="1164"/>
      <c r="E45" s="1164"/>
      <c r="F45" s="1164"/>
      <c r="G45" s="1164"/>
      <c r="H45" s="1165"/>
    </row>
    <row r="46" spans="1:8" ht="15" thickBot="1" x14ac:dyDescent="0.4">
      <c r="B46" s="612" t="str">
        <f ca="1">+IFERROR(+CONCATENATE(TEXT($C$20,"€ #.##0,00")," ", "da addebitare sul conto corrente della Fonte Finanziaria:"),"")</f>
        <v>€ 0,00 da addebitare sul conto corrente della Fonte Finanziaria:</v>
      </c>
    </row>
    <row r="47" spans="1:8" x14ac:dyDescent="0.35">
      <c r="B47" s="920" t="s">
        <v>2096</v>
      </c>
      <c r="C47" s="2091" t="str">
        <f ca="1">+IFERROR(+IF($C$20=0,"",'Fonti e cc'!$B$6),"")</f>
        <v/>
      </c>
      <c r="D47" s="2091"/>
      <c r="E47" s="2092"/>
    </row>
    <row r="48" spans="1:8" ht="15" thickBot="1" x14ac:dyDescent="0.4">
      <c r="B48" s="921" t="s">
        <v>2097</v>
      </c>
      <c r="C48" s="922" t="str">
        <f ca="1">+IFERROR(+IF($C$20=0,"",'Fonti e cc'!$C$6),"")</f>
        <v/>
      </c>
      <c r="D48" s="923" t="s">
        <v>2185</v>
      </c>
      <c r="E48" s="924" t="str">
        <f ca="1">+IFERROR(+IF($C$20=0,"","MI"),"")</f>
        <v/>
      </c>
    </row>
    <row r="49" spans="2:8" ht="15" thickBot="1" x14ac:dyDescent="0.4"/>
    <row r="50" spans="2:8" ht="15" thickBot="1" x14ac:dyDescent="0.4">
      <c r="B50" s="913"/>
      <c r="C50" s="913"/>
      <c r="D50" s="914" t="s">
        <v>2088</v>
      </c>
      <c r="E50" s="915" t="s">
        <v>2089</v>
      </c>
      <c r="F50" s="915" t="s">
        <v>2090</v>
      </c>
      <c r="G50" s="915" t="s">
        <v>2091</v>
      </c>
      <c r="H50" s="916" t="s">
        <v>2092</v>
      </c>
    </row>
    <row r="51" spans="2:8" ht="15" thickBot="1" x14ac:dyDescent="0.4">
      <c r="B51" s="914" t="s">
        <v>2093</v>
      </c>
      <c r="C51" s="917" t="s">
        <v>2094</v>
      </c>
      <c r="D51" s="918" t="str">
        <f ca="1">+IFERROR(+IF($C$20=0,"",'Fonti e cc'!$E$6),"")</f>
        <v/>
      </c>
      <c r="E51" s="918" t="str">
        <f ca="1">+IFERROR(+IF($C$20=0,"",'Fonti e cc'!$F$6),"")</f>
        <v/>
      </c>
      <c r="F51" s="918" t="str">
        <f ca="1">+IFERROR(+IF($C$20=0,"",'Fonti e cc'!$G$6),"")</f>
        <v/>
      </c>
      <c r="G51" s="918" t="str">
        <f ca="1">+IFERROR(+IF($C$20=0,"",'Fonti e cc'!$H$6),"")</f>
        <v/>
      </c>
      <c r="H51" s="919" t="str">
        <f ca="1">+IFERROR(+IF($C$20=0,"",'Fonti e cc'!$I$6),"")</f>
        <v/>
      </c>
    </row>
    <row r="52" spans="2:8" ht="15" thickBot="1" x14ac:dyDescent="0.4"/>
    <row r="53" spans="2:8" ht="15" thickBot="1" x14ac:dyDescent="0.4">
      <c r="B53" s="2093" t="s">
        <v>2169</v>
      </c>
      <c r="C53" s="2094"/>
      <c r="D53" s="2094"/>
      <c r="E53" s="2094"/>
      <c r="F53" s="925" t="str">
        <f>+E2</f>
        <v>No</v>
      </c>
    </row>
    <row r="55" spans="2:8" x14ac:dyDescent="0.35">
      <c r="F55" s="2095" t="s">
        <v>2186</v>
      </c>
      <c r="G55" s="2095"/>
      <c r="H55" s="2095"/>
    </row>
    <row r="57" spans="2:8" x14ac:dyDescent="0.35">
      <c r="F57" s="2095" t="s">
        <v>2187</v>
      </c>
      <c r="G57" s="2095"/>
      <c r="H57" s="2095"/>
    </row>
    <row r="58" spans="2:8" x14ac:dyDescent="0.35">
      <c r="G58" s="902" t="s">
        <v>2186</v>
      </c>
    </row>
  </sheetData>
  <mergeCells count="29">
    <mergeCell ref="C12:H12"/>
    <mergeCell ref="B2:D2"/>
    <mergeCell ref="C7:H7"/>
    <mergeCell ref="C8:H8"/>
    <mergeCell ref="C9:H9"/>
    <mergeCell ref="C10:H10"/>
    <mergeCell ref="C11:H11"/>
    <mergeCell ref="C27:H27"/>
    <mergeCell ref="B14:H15"/>
    <mergeCell ref="C16:H16"/>
    <mergeCell ref="B17:H17"/>
    <mergeCell ref="C18:H18"/>
    <mergeCell ref="B19:H19"/>
    <mergeCell ref="C20:H20"/>
    <mergeCell ref="B21:H21"/>
    <mergeCell ref="C23:H23"/>
    <mergeCell ref="C24:H24"/>
    <mergeCell ref="C25:H25"/>
    <mergeCell ref="C26:H26"/>
    <mergeCell ref="B53:E53"/>
    <mergeCell ref="F55:H55"/>
    <mergeCell ref="F57:H57"/>
    <mergeCell ref="C28:H28"/>
    <mergeCell ref="C29:H29"/>
    <mergeCell ref="C32:H32"/>
    <mergeCell ref="C33:H33"/>
    <mergeCell ref="C34:H34"/>
    <mergeCell ref="C40:E40"/>
    <mergeCell ref="C47:E47"/>
  </mergeCells>
  <dataValidations count="8">
    <dataValidation type="list" allowBlank="1" showInputMessage="1" showErrorMessage="1" sqref="E2" xr:uid="{6C008A1D-19B4-432C-BD7B-3F28751B71B8}">
      <formula1>"No,Si,"</formula1>
    </dataValidation>
    <dataValidation allowBlank="1" showInputMessage="1" showErrorMessage="1" promptTitle="Dato utile" prompt="Via e civico" sqref="C24:H24" xr:uid="{A4759554-728A-4EF9-B687-B1216FF04D07}"/>
    <dataValidation type="textLength" errorStyle="information" operator="equal" allowBlank="1" showInputMessage="1" showErrorMessage="1" errorTitle="Numero dati Sbagliati" error="Devono essere 5 cifre" sqref="F37:G37 F44:G45 F51:G51" xr:uid="{E9AAE235-CD34-4C66-B578-82F7ADFC4A54}">
      <formula1>5</formula1>
    </dataValidation>
    <dataValidation type="textLength" errorStyle="information" operator="equal" allowBlank="1" showInputMessage="1" showErrorMessage="1" errorTitle="Numero dati Sbagliati" error="Deve essere 1 cifra" sqref="E37 E44:E45 E51" xr:uid="{A378528F-4565-4E43-A766-6870B7E356D4}">
      <formula1>1</formula1>
    </dataValidation>
    <dataValidation type="textLength" errorStyle="information" operator="equal" allowBlank="1" showInputMessage="1" showErrorMessage="1" errorTitle="Numero dati Sbagliati" error="Devono essere 2 cifre" sqref="D37 D44:D45 D51" xr:uid="{32545635-AA88-404C-9ACB-F5BD07993634}">
      <formula1>2</formula1>
    </dataValidation>
    <dataValidation type="textLength" errorStyle="information" operator="equal" allowBlank="1" showInputMessage="1" showErrorMessage="1" errorTitle="Numero dati Sbagliati" error="Devono essere 12 cifre_x000a_" sqref="H37 H44:H45 H51" xr:uid="{6F7E06F1-AFD4-453F-B9C7-73013436F21D}">
      <formula1>12</formula1>
    </dataValidation>
    <dataValidation type="textLength" errorStyle="information" operator="equal" allowBlank="1" showInputMessage="1" showErrorMessage="1" errorTitle="Numero dati sbagliato" error="Devono essere 11 cifre" sqref="C28:H29" xr:uid="{D39D966E-3822-4C2A-BBCC-290F981F21F0}">
      <formula1>11</formula1>
    </dataValidation>
    <dataValidation type="textLength" errorStyle="information" operator="equal" allowBlank="1" showInputMessage="1" showErrorMessage="1" errorTitle="Numero dati sbagliato" error="Devono essere 5 cifre" sqref="C26:H26" xr:uid="{F0E8BE46-780D-4ACD-91AC-45B5E4143E94}">
      <formula1>5</formula1>
    </dataValidation>
  </dataValidations>
  <pageMargins left="0.7" right="0.7" top="0.75" bottom="0.75" header="0.3" footer="0.3"/>
  <pageSetup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5409" r:id="rId4" name="Button 1">
              <controlPr defaultSize="0" print="0" autoFill="0" autoPict="0" macro="[0]!Mandato_SAL_SALDO">
                <anchor moveWithCells="1" sizeWithCells="1">
                  <from>
                    <xdr:col>8</xdr:col>
                    <xdr:colOff>552450</xdr:colOff>
                    <xdr:row>0</xdr:row>
                    <xdr:rowOff>69850</xdr:rowOff>
                  </from>
                  <to>
                    <xdr:col>11</xdr:col>
                    <xdr:colOff>285750</xdr:colOff>
                    <xdr:row>4</xdr:row>
                    <xdr:rowOff>19050</xdr:rowOff>
                  </to>
                </anchor>
              </controlPr>
            </control>
          </mc:Choice>
        </mc:AlternateContent>
      </controls>
    </mc:Choice>
  </mc:AlternateConten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F6C1C-C05E-4B59-98B6-E8F8821496B3}">
  <sheetPr codeName="Foglio43"/>
  <dimension ref="B2:U13"/>
  <sheetViews>
    <sheetView topLeftCell="D1" zoomScaleNormal="100" workbookViewId="0">
      <selection activeCell="CG26" sqref="CG26"/>
    </sheetView>
  </sheetViews>
  <sheetFormatPr defaultRowHeight="14.5" x14ac:dyDescent="0.35"/>
  <cols>
    <col min="2" max="2" width="27" customWidth="1"/>
    <col min="3" max="3" width="14.7265625" customWidth="1"/>
    <col min="4" max="4" width="14.7265625" bestFit="1" customWidth="1"/>
    <col min="5" max="5" width="15.453125" customWidth="1"/>
    <col min="6" max="6" width="14.7265625" customWidth="1"/>
    <col min="7" max="7" width="15.81640625" customWidth="1"/>
    <col min="8" max="9" width="14.453125" customWidth="1"/>
    <col min="10" max="10" width="39.453125" customWidth="1"/>
    <col min="11" max="11" width="12.54296875" customWidth="1"/>
    <col min="12" max="12" width="13.7265625" customWidth="1"/>
    <col min="13" max="13" width="14.1796875" customWidth="1"/>
    <col min="14" max="14" width="12.26953125" customWidth="1"/>
    <col min="15" max="15" width="19.453125" customWidth="1"/>
  </cols>
  <sheetData>
    <row r="2" spans="2:21" ht="15" thickBot="1" x14ac:dyDescent="0.4"/>
    <row r="3" spans="2:21" ht="15" thickBot="1" x14ac:dyDescent="0.4">
      <c r="B3" s="989"/>
      <c r="C3" s="2202" t="s">
        <v>2245</v>
      </c>
      <c r="D3" s="2203"/>
      <c r="E3" s="2204" t="s">
        <v>2246</v>
      </c>
      <c r="F3" s="2205"/>
      <c r="G3" s="2205"/>
      <c r="H3" s="2205"/>
      <c r="I3" s="2206"/>
      <c r="J3" s="989"/>
    </row>
    <row r="4" spans="2:21" ht="46.5" thickBot="1" x14ac:dyDescent="0.4">
      <c r="B4" s="1088" t="s">
        <v>2067</v>
      </c>
      <c r="C4" s="999" t="s">
        <v>2068</v>
      </c>
      <c r="D4" s="1081" t="s">
        <v>2069</v>
      </c>
      <c r="E4" s="1074" t="s">
        <v>2247</v>
      </c>
      <c r="F4" s="1000" t="s">
        <v>2226</v>
      </c>
      <c r="G4" s="1025" t="s">
        <v>2069</v>
      </c>
      <c r="H4" s="1000" t="s">
        <v>2248</v>
      </c>
      <c r="I4" s="1081" t="s">
        <v>2249</v>
      </c>
      <c r="J4" s="1081" t="s">
        <v>2250</v>
      </c>
      <c r="K4" s="1191" t="s">
        <v>2257</v>
      </c>
      <c r="L4" s="1000" t="s">
        <v>2258</v>
      </c>
      <c r="M4" s="1000" t="s">
        <v>2259</v>
      </c>
      <c r="N4" s="1000" t="s">
        <v>2260</v>
      </c>
      <c r="O4" s="1000" t="s">
        <v>2261</v>
      </c>
      <c r="R4" s="1194" t="s">
        <v>402</v>
      </c>
      <c r="S4" s="1194" t="s">
        <v>2069</v>
      </c>
      <c r="T4" s="1194" t="s">
        <v>2262</v>
      </c>
      <c r="U4" s="1194" t="s">
        <v>2263</v>
      </c>
    </row>
    <row r="5" spans="2:21" ht="29" x14ac:dyDescent="0.35">
      <c r="B5" s="1089" t="str">
        <f>+IF(Anagrafica!$G$2="Capo II","Opere murarie e assimilate","Acquisto immobile sede dell'attività")</f>
        <v>Acquisto immobile sede dell'attività</v>
      </c>
      <c r="C5" s="1101">
        <f ca="1">+Anagrafica!$I$30</f>
        <v>0</v>
      </c>
      <c r="D5" s="1102">
        <f ca="1">+Anagrafica!$J$30</f>
        <v>0</v>
      </c>
      <c r="E5" s="1098" cm="1">
        <f t="array" aca="1" ref="E5" ca="1">+SUMIF(Categoriesal4,B5,Imponibilesal4)</f>
        <v>0</v>
      </c>
      <c r="F5" s="1009" cm="1">
        <f t="array" aca="1" ref="F5" ca="1">+SUMIF(Categoriesal4,B5,Realizzatosal4)</f>
        <v>0</v>
      </c>
      <c r="G5" s="1009" cm="1">
        <f t="array" aca="1" ref="G5" ca="1">+SUMIF(Categoriesal4,B5,Ammessosal4)</f>
        <v>0</v>
      </c>
      <c r="H5" s="1009" t="str">
        <f ca="1">IFERROR(+G5*Anagrafica!$F$38,"")</f>
        <v/>
      </c>
      <c r="I5" s="1015">
        <v>0</v>
      </c>
      <c r="J5" s="1107" t="e">
        <f ca="1">+IF(C5-F5-'1 SAL'!$F$110&lt;0,0,C5-F5-'1 SAL'!$F$110)</f>
        <v>#REF!</v>
      </c>
      <c r="K5" s="1192">
        <f ca="1">SUMIF(R:R,B5,U:U)</f>
        <v>0</v>
      </c>
      <c r="L5" s="1214">
        <v>0</v>
      </c>
      <c r="M5" s="264" t="e">
        <f ca="1">+K5*Anagrafica!F38</f>
        <v>#DIV/0!</v>
      </c>
      <c r="N5" s="264">
        <f>+I5-L5</f>
        <v>0</v>
      </c>
      <c r="O5" s="264" t="e">
        <f ca="1">+H5-M5</f>
        <v>#VALUE!</v>
      </c>
      <c r="R5" t="str" cm="1">
        <f t="array" aca="1" ref="R5:R6" ca="1">+Categoriesal4</f>
        <v>Opere murarie e assimilate</v>
      </c>
      <c r="S5" cm="1">
        <f t="array" aca="1" ref="S5:S6" ca="1">+Ammessosal4</f>
        <v>0</v>
      </c>
      <c r="T5" t="e" cm="1">
        <f t="array" aca="1" ref="T5" ca="1">+Quietanzasal4</f>
        <v>#REF!</v>
      </c>
      <c r="U5" t="e" cm="1">
        <f t="array" aca="1" ref="U5:U6" ca="1">IF(+Quietanzasal4="si",1,0)*Ammessosal4</f>
        <v>#REF!</v>
      </c>
    </row>
    <row r="6" spans="2:21" x14ac:dyDescent="0.35">
      <c r="B6" s="1090" t="str">
        <f>+IF(Anagrafica!$G$2="Capo II","Macchinari, impianti ed attrezzature","Opere murarie e assimilate")</f>
        <v>Opere murarie e assimilate</v>
      </c>
      <c r="C6" s="1103">
        <f ca="1">+Anagrafica!$I$31</f>
        <v>0</v>
      </c>
      <c r="D6" s="1016">
        <f>+Anagrafica!$J$31</f>
        <v>0</v>
      </c>
      <c r="E6" s="1098" cm="1">
        <f t="array" aca="1" ref="E6" ca="1">+SUMIF(Categoriesal4,B6,Imponibilesal4)</f>
        <v>0</v>
      </c>
      <c r="F6" s="1009" cm="1">
        <f t="array" aca="1" ref="F6" ca="1">+SUMIF(Categoriesal4,B6,Realizzatosal4)</f>
        <v>0</v>
      </c>
      <c r="G6" s="1009" cm="1">
        <f t="array" aca="1" ref="G6" ca="1">+SUMIF(Categoriesal4,B6,Ammessosal4)</f>
        <v>0</v>
      </c>
      <c r="H6" s="1010" t="e">
        <f ca="1">+IF(Anagrafica!$G$2="Capo II",(G6*Anagrafica!$F$38-I6),G6*Anagrafica!$F$38)</f>
        <v>#DIV/0!</v>
      </c>
      <c r="I6" s="1016">
        <f ca="1">+IFERROR((G6/'Calcolo contributo CAPO II'!$C$23)*Anagrafica!$C$37,0)</f>
        <v>0</v>
      </c>
      <c r="J6" s="1107" t="e">
        <f ca="1">+IF(C6-F6-'1 SAL'!$F$111&lt;0,0,C6-F6-'1 SAL'!$F$111)</f>
        <v>#REF!</v>
      </c>
      <c r="K6" s="1192" t="e">
        <f ca="1">SUMIF(R:R,B6,U:U)</f>
        <v>#REF!</v>
      </c>
      <c r="L6" s="779">
        <f ca="1">+IFERROR((K6/'Calcolo contributo CAPO II'!$C$23)*Anagrafica!$C$37,0)</f>
        <v>0</v>
      </c>
      <c r="M6" s="779" t="e">
        <f ca="1">+IF(Anagrafica!$G$2="Capo II",(K6*Anagrafica!$F$38-L6),K6*Anagrafica!$F$38)</f>
        <v>#REF!</v>
      </c>
      <c r="N6" s="264">
        <f ca="1">+I6-L6</f>
        <v>0</v>
      </c>
      <c r="O6" s="264" t="e">
        <f ca="1">+H6-M6</f>
        <v>#DIV/0!</v>
      </c>
      <c r="R6" t="str">
        <f ca="1"/>
        <v>Macchinari, impianti ed attrezzature</v>
      </c>
      <c r="S6">
        <f ca="1"/>
        <v>0</v>
      </c>
      <c r="U6" t="e">
        <f ca="1"/>
        <v>#REF!</v>
      </c>
    </row>
    <row r="7" spans="2:21" ht="29" x14ac:dyDescent="0.35">
      <c r="B7" s="1091" t="str">
        <f>+IF(Anagrafica!$G$2="Capo II","Programmi informatici e servizi per le tecnologie dell’informazione e della comunicazione","Macchinari, impianti ed attrezzature")</f>
        <v>Macchinari, impianti ed attrezzature</v>
      </c>
      <c r="C7" s="1103">
        <f ca="1">+Anagrafica!$I$32</f>
        <v>10000</v>
      </c>
      <c r="D7" s="1016">
        <f>+Anagrafica!$J$32</f>
        <v>0</v>
      </c>
      <c r="E7" s="1098" cm="1">
        <f t="array" aca="1" ref="E7" ca="1">+SUMIF(Categoriesal4,B7,Imponibilesal4)</f>
        <v>0</v>
      </c>
      <c r="F7" s="1009" cm="1">
        <f t="array" aca="1" ref="F7" ca="1">+SUMIF(Categoriesal4,B7,Realizzatosal4)</f>
        <v>0</v>
      </c>
      <c r="G7" s="1009" cm="1">
        <f t="array" aca="1" ref="G7" ca="1">+SUMIF(Categoriesal4,B7,Ammessosal4)</f>
        <v>0</v>
      </c>
      <c r="H7" s="1010" t="e">
        <f ca="1">+(G7*Anagrafica!$F$38-I7)</f>
        <v>#DIV/0!</v>
      </c>
      <c r="I7" s="1016" t="e">
        <f ca="1">IF(Anagrafica!$G$2="Capo II",(G7/'Calcolo contributo CAPO II'!$C$23)*Anagrafica!$C$37,G7/(GBER!$C$11+GBER!$C$13)*Anagrafica!$C$37)</f>
        <v>#DIV/0!</v>
      </c>
      <c r="J7" s="1107" t="e">
        <f ca="1">+IF(C7-F7-'1 SAL'!$F$112&lt;0,0,C7-F7-'1 SAL'!$F$112)</f>
        <v>#REF!</v>
      </c>
      <c r="K7" s="1192" t="e">
        <f ca="1">SUMIF(R:R,B7,U:U)</f>
        <v>#REF!</v>
      </c>
      <c r="L7" s="264" t="e">
        <f ca="1">IF(Anagrafica!$G$2="Capo II",(K7/'Calcolo contributo CAPO II'!$C$23)*Anagrafica!$C$37,K7/(GBER!$C$11+GBER!$C$13)*Anagrafica!$C$37)</f>
        <v>#REF!</v>
      </c>
      <c r="M7" s="264" t="e">
        <f ca="1">+(K7*Anagrafica!$F$38-L7)</f>
        <v>#REF!</v>
      </c>
      <c r="N7" s="264" t="e">
        <f ca="1">+I7-L7</f>
        <v>#DIV/0!</v>
      </c>
      <c r="O7" s="264" t="e">
        <f ca="1">+H7-M7</f>
        <v>#DIV/0!</v>
      </c>
    </row>
    <row r="8" spans="2:21" ht="29" x14ac:dyDescent="0.35">
      <c r="B8" s="1091" t="str">
        <f>+IF(Anagrafica!$G$2="Capo II","Acquisto di brevetti o acquisizione di relative licenze d’uso","Programmi informatici, brevetti, licenze e marchi")</f>
        <v>Programmi informatici, brevetti, licenze e marchi</v>
      </c>
      <c r="C8" s="1103">
        <f ca="1">+Anagrafica!$I$33</f>
        <v>0</v>
      </c>
      <c r="D8" s="1016">
        <f ca="1">+Anagrafica!$J$33</f>
        <v>0</v>
      </c>
      <c r="E8" s="1098" cm="1">
        <f t="array" aca="1" ref="E8" ca="1">+SUMIF(Categoriesal4,B8,Imponibilesal4)</f>
        <v>0</v>
      </c>
      <c r="F8" s="1009" cm="1">
        <f t="array" aca="1" ref="F8" ca="1">+SUMIF(Categoriesal4,B8,Realizzatosal4)</f>
        <v>0</v>
      </c>
      <c r="G8" s="1009" cm="1">
        <f t="array" aca="1" ref="G8" ca="1">+SUMIF(Categoriesal4,B8,Ammessosal4)</f>
        <v>0</v>
      </c>
      <c r="H8" s="1010" t="e">
        <f ca="1">+G8*Anagrafica!$F$38-I8</f>
        <v>#DIV/0!</v>
      </c>
      <c r="I8" s="1016" t="e">
        <f ca="1">IF(Anagrafica!$G$2="Capo II",(G8/'Calcolo contributo CAPO II'!$C$23)*Anagrafica!$C$37,G8/(GBER!$C$11+GBER!$C$13)*Anagrafica!$C$37)</f>
        <v>#DIV/0!</v>
      </c>
      <c r="J8" s="1107" t="e">
        <f ca="1">+IF(C8-F8-'1 SAL'!$F$113&lt;0,0,C8-F8-'1 SAL'!$F$113)</f>
        <v>#REF!</v>
      </c>
      <c r="K8" s="1192">
        <f t="shared" ref="K8" ca="1" si="0">SUMIF(R:R,B8,U:U)</f>
        <v>0</v>
      </c>
      <c r="L8" s="264" t="e">
        <f ca="1">IF(Anagrafica!$G$2="Capo II",(K8/'Calcolo contributo CAPO II'!$C$23)*Anagrafica!$C$37,K8/(GBER!$C$11+GBER!$C$13)*Anagrafica!$C$37)</f>
        <v>#DIV/0!</v>
      </c>
      <c r="M8" s="264" t="e">
        <f ca="1">+(K8*Anagrafica!$F$38-L8)</f>
        <v>#DIV/0!</v>
      </c>
      <c r="N8" s="264" t="e">
        <f t="shared" ref="N8" ca="1" si="1">+I8-L8</f>
        <v>#DIV/0!</v>
      </c>
      <c r="O8" s="264" t="e">
        <f ca="1">+H8-M8</f>
        <v>#DIV/0!</v>
      </c>
    </row>
    <row r="9" spans="2:21" ht="29" x14ac:dyDescent="0.35">
      <c r="B9" s="1091" t="str">
        <f>+IF(Anagrafica!$G$2="Capo II","Consulenze specialistiche","TOTALE PROGRAMMA DI SPESA")</f>
        <v>TOTALE PROGRAMMA DI SPESA</v>
      </c>
      <c r="C9" s="1103">
        <f ca="1">+Anagrafica!$I$34</f>
        <v>10000</v>
      </c>
      <c r="D9" s="1016">
        <f ca="1">+Anagrafica!$J$34</f>
        <v>0</v>
      </c>
      <c r="E9" s="1098" cm="1">
        <f t="array" aca="1" ref="E9" ca="1">+SUMIF(Categoriesal4,B9,Imponibilesal4)</f>
        <v>0</v>
      </c>
      <c r="F9" s="1009" cm="1">
        <f t="array" aca="1" ref="F9" ca="1">+SUMIF(Categoriesal4,B9,Realizzatosal4)</f>
        <v>0</v>
      </c>
      <c r="G9" s="1009" cm="1">
        <f t="array" aca="1" ref="G9" ca="1">+SUMIF(Categoriesal4,B9,Ammessosal4)</f>
        <v>0</v>
      </c>
      <c r="H9" s="1010">
        <f ca="1">IFERROR(IF(Anagrafica!$G$2="Capo II",+G9*Anagrafica!$F$38,SUM(H5:H8)),0)</f>
        <v>0</v>
      </c>
      <c r="I9" s="1016">
        <f ca="1">IFERROR(IF(Anagrafica!$G$2="Capo II",0,SUM(I5:I8)),0)</f>
        <v>0</v>
      </c>
      <c r="J9" s="1107" t="e">
        <f ca="1">+IF(C9-F9-'1 SAL'!$F$114&lt;0,0,C9-F9-'1 SAL'!$F$114)</f>
        <v>#REF!</v>
      </c>
      <c r="K9" s="1192" t="e">
        <f ca="1">IF(Anagrafica!$G$2="Capo II",SUMIF(R:R,B9,U:U),SUM(K5:K8))</f>
        <v>#REF!</v>
      </c>
      <c r="L9" s="264">
        <f ca="1">IFERROR(IF(Anagrafica!$G$2="Capo II",0,SUM(L5:L8)),0)</f>
        <v>0</v>
      </c>
      <c r="M9" s="264">
        <f ca="1">IFERROR(IF(Anagrafica!$G$2="Capo II",+K9*Anagrafica!$F$38,SUM(M5:M8)),0)</f>
        <v>0</v>
      </c>
      <c r="N9" s="264">
        <f ca="1">IFERROR(IF(Anagrafica!$G$2="Capo II",+I9-L9,SUM(N5:N8)),0)</f>
        <v>0</v>
      </c>
      <c r="O9" s="264">
        <f ca="1">+IFERROR(IF(Anagrafica!$G$2="Capo II",+H9-M9,SUM(O5:O8)),0)</f>
        <v>0</v>
      </c>
    </row>
    <row r="10" spans="2:21" ht="15" thickBot="1" x14ac:dyDescent="0.4">
      <c r="B10" s="1092" t="str">
        <f>+IF(Anagrafica!$G$2="Capo II","Oneri notarili connessi alla stipula del contratto di finanziamento ed oneri connessi alla costituzione della società","")</f>
        <v/>
      </c>
      <c r="C10" s="1104" t="str">
        <f>+Anagrafica!$I$35</f>
        <v/>
      </c>
      <c r="D10" s="1027" t="str">
        <f>+Anagrafica!$J$35</f>
        <v/>
      </c>
      <c r="E10" s="1098" cm="1">
        <f t="array" aca="1" ref="E10" ca="1">+SUMIF(Categoriesal4,B10,Imponibilesal4)</f>
        <v>0</v>
      </c>
      <c r="F10" s="1009" cm="1">
        <f t="array" aca="1" ref="F10" ca="1">+SUMIF(Categoriesal4,B10,Realizzatosal4)</f>
        <v>0</v>
      </c>
      <c r="G10" s="1009" cm="1">
        <f t="array" aca="1" ref="G10" ca="1">+SUMIF(Categoriesal4,B10,Ammessosal4)</f>
        <v>0</v>
      </c>
      <c r="H10" s="1009" t="str">
        <f ca="1">IFERROR(+G10*Anagrafica!$F$38,"")</f>
        <v/>
      </c>
      <c r="I10" s="1027">
        <v>0</v>
      </c>
      <c r="J10" s="1082" t="e">
        <f ca="1">+IF(C10-F10-'1 SAL'!$F$115&lt;0,0,C10-F10-'1 SAL'!$F$115)</f>
        <v>#VALUE!</v>
      </c>
      <c r="K10" s="1192">
        <f ca="1">SUMIF(R:R,B10,U:U)</f>
        <v>0</v>
      </c>
      <c r="L10" s="1206">
        <v>0</v>
      </c>
      <c r="M10" s="264" t="e">
        <f ca="1">K10*Anagrafica!F38</f>
        <v>#DIV/0!</v>
      </c>
      <c r="N10">
        <v>0</v>
      </c>
      <c r="O10">
        <v>0</v>
      </c>
    </row>
    <row r="11" spans="2:21" ht="15" thickBot="1" x14ac:dyDescent="0.4">
      <c r="B11" s="1093" t="str">
        <f>+IF(Anagrafica!$G$2="Capo II","TOTALE INVESTIMENTO","")</f>
        <v/>
      </c>
      <c r="C11" s="1105" t="str">
        <f>+Anagrafica!$I$36</f>
        <v/>
      </c>
      <c r="D11" s="1106" t="str">
        <f>+Anagrafica!$J$36</f>
        <v/>
      </c>
      <c r="E11" s="1099">
        <f t="shared" ref="E11:G11" ca="1" si="2">+SUM(E5:E10)</f>
        <v>0</v>
      </c>
      <c r="F11" s="1013">
        <f t="shared" ca="1" si="2"/>
        <v>0</v>
      </c>
      <c r="G11" s="1013">
        <f t="shared" ca="1" si="2"/>
        <v>0</v>
      </c>
      <c r="H11" s="1013" t="e">
        <f ca="1">+SUM(H5:H10)</f>
        <v>#DIV/0!</v>
      </c>
      <c r="I11" s="1017" t="e">
        <f ca="1">+SUM(I5:I10)</f>
        <v>#DIV/0!</v>
      </c>
      <c r="J11" s="1108" t="e">
        <f ca="1">+SUM(J5:J10)</f>
        <v>#REF!</v>
      </c>
      <c r="K11" s="1108" t="e">
        <f t="shared" ref="K11:O11" ca="1" si="3">+SUM(K5:K10)</f>
        <v>#REF!</v>
      </c>
      <c r="L11" s="1108" t="e">
        <f t="shared" ca="1" si="3"/>
        <v>#REF!</v>
      </c>
      <c r="M11" s="1108" t="e">
        <f ca="1">+SUM(M5:M10)</f>
        <v>#DIV/0!</v>
      </c>
      <c r="N11" s="1195" t="e">
        <f ca="1">+SUM(N5:N10)</f>
        <v>#DIV/0!</v>
      </c>
      <c r="O11" s="1195" t="e">
        <f t="shared" ca="1" si="3"/>
        <v>#VALUE!</v>
      </c>
    </row>
    <row r="12" spans="2:21" ht="15" thickBot="1" x14ac:dyDescent="0.4">
      <c r="B12" s="1092" t="str">
        <f>+IF(Anagrafica!$G$2="Capo II","Capitale circolante","")</f>
        <v/>
      </c>
      <c r="C12" s="1104">
        <f>+Anagrafica!$C$31</f>
        <v>0</v>
      </c>
      <c r="D12" s="1027">
        <f>+Anagrafica!$C$31</f>
        <v>0</v>
      </c>
      <c r="E12" s="1012">
        <f>+$E$85</f>
        <v>0</v>
      </c>
      <c r="F12" s="1012">
        <f>+$E$86</f>
        <v>0</v>
      </c>
      <c r="G12" s="1012">
        <f>+$E$86</f>
        <v>0</v>
      </c>
      <c r="H12" s="1009">
        <f ca="1">IFERROR(+#REF!*Anagrafica!$F$38,0)</f>
        <v>0</v>
      </c>
      <c r="I12" s="1015">
        <v>0</v>
      </c>
      <c r="J12" s="1109">
        <f>+IF(C12-F12-'1 SAL'!$F$117&lt;0,0,C12-F12-'1 SAL'!$F$117)</f>
        <v>0</v>
      </c>
    </row>
    <row r="13" spans="2:21" ht="15" thickBot="1" x14ac:dyDescent="0.4">
      <c r="B13" s="1093" t="e">
        <f>+IF(Anagrafica!#REF!="Capo II","TOTALE PROGRAMMA DI SPESA","")</f>
        <v>#REF!</v>
      </c>
      <c r="C13" s="1013" t="str">
        <f>+Anagrafica!$I$38</f>
        <v/>
      </c>
      <c r="D13" s="1013" t="str">
        <f>+Anagrafica!$J$38</f>
        <v/>
      </c>
      <c r="E13" s="1013">
        <f ca="1">+E11+E12</f>
        <v>0</v>
      </c>
      <c r="F13" s="1013">
        <f ca="1">+F11+F12</f>
        <v>0</v>
      </c>
      <c r="G13" s="1013">
        <f ca="1">+G11+G12</f>
        <v>0</v>
      </c>
      <c r="H13" s="1013" t="e">
        <f ca="1">+H12+H11</f>
        <v>#DIV/0!</v>
      </c>
      <c r="I13" s="1017" t="e">
        <f ca="1">+I11</f>
        <v>#DIV/0!</v>
      </c>
      <c r="J13" s="1108" t="e">
        <f ca="1">+J12+J11</f>
        <v>#REF!</v>
      </c>
    </row>
  </sheetData>
  <mergeCells count="2">
    <mergeCell ref="C3:D3"/>
    <mergeCell ref="E3:I3"/>
  </mergeCell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8" id="{6838D1E2-3A1C-47FE-AC03-CB43192A8FDD}">
            <xm:f>+IF(Anagrafica!$G$2="Capo III",1,0)</xm:f>
            <x14:dxf>
              <font>
                <b/>
                <i val="0"/>
              </font>
              <fill>
                <patternFill>
                  <bgColor theme="8" tint="0.59996337778862885"/>
                </patternFill>
              </fill>
              <border>
                <top style="thin">
                  <color auto="1"/>
                </top>
                <bottom style="thin">
                  <color auto="1"/>
                </bottom>
              </border>
            </x14:dxf>
          </x14:cfRule>
          <xm:sqref>B9</xm:sqref>
        </x14:conditionalFormatting>
        <x14:conditionalFormatting xmlns:xm="http://schemas.microsoft.com/office/excel/2006/main">
          <x14:cfRule type="expression" priority="7" id="{1CD5DB0F-AFF2-45BA-9E58-0EA87A0E5DF0}">
            <xm:f>+IF(Anagrafica!$G$2="Capo III",1,0)</xm:f>
            <x14:dxf>
              <fill>
                <patternFill>
                  <bgColor theme="8" tint="0.59996337778862885"/>
                </patternFill>
              </fill>
            </x14:dxf>
          </x14:cfRule>
          <xm:sqref>C9:D9 H9:I9</xm:sqref>
        </x14:conditionalFormatting>
        <x14:conditionalFormatting xmlns:xm="http://schemas.microsoft.com/office/excel/2006/main">
          <x14:cfRule type="expression" priority="6" id="{FC91AE3B-A100-4DE5-B016-ED9CFACC8E1F}">
            <xm:f>+IF(Anagrafica!$G$2="Capo III",1,0)</xm:f>
            <x14:dxf>
              <font>
                <color theme="0"/>
              </font>
              <fill>
                <patternFill>
                  <bgColor theme="0"/>
                </patternFill>
              </fill>
              <border>
                <left/>
                <right/>
                <top/>
                <bottom/>
                <vertical/>
                <horizontal/>
              </border>
            </x14:dxf>
          </x14:cfRule>
          <xm:sqref>B11:I13 B10:D10 H10:I10</xm:sqref>
        </x14:conditionalFormatting>
        <x14:conditionalFormatting xmlns:xm="http://schemas.microsoft.com/office/excel/2006/main">
          <x14:cfRule type="expression" priority="5" id="{15D45675-A0E0-4F10-B4A5-1E9E18FC4105}">
            <xm:f>+IF(Anagrafica!$G$2="Capo III",1,0)</xm:f>
            <x14:dxf>
              <border>
                <left/>
                <right/>
                <top style="thin">
                  <color auto="1"/>
                </top>
                <bottom/>
                <vertical/>
                <horizontal/>
              </border>
            </x14:dxf>
          </x14:cfRule>
          <xm:sqref>B10:D10 H10:I10</xm:sqref>
        </x14:conditionalFormatting>
        <x14:conditionalFormatting xmlns:xm="http://schemas.microsoft.com/office/excel/2006/main">
          <x14:cfRule type="expression" priority="4" id="{0E10F68D-4675-4A60-B920-0A0F91ABD32D}">
            <xm:f>+IF(Anagrafica!$G$2="Capo III",1,0)</xm:f>
            <x14:dxf>
              <font>
                <color theme="0"/>
              </font>
              <fill>
                <patternFill>
                  <fgColor theme="0"/>
                  <bgColor theme="0"/>
                </patternFill>
              </fill>
              <border>
                <left/>
                <right/>
                <top/>
                <bottom/>
                <vertical/>
                <horizontal/>
              </border>
            </x14:dxf>
          </x14:cfRule>
          <xm:sqref>K11:O11</xm:sqref>
        </x14:conditionalFormatting>
        <x14:conditionalFormatting xmlns:xm="http://schemas.microsoft.com/office/excel/2006/main">
          <x14:cfRule type="expression" priority="3" id="{30728EFD-6787-408B-ABD6-BDB8458C6015}">
            <xm:f>+IF(Anagrafica!$G$2="Capo III",1,0)</xm:f>
            <x14:dxf>
              <fill>
                <patternFill>
                  <bgColor theme="8" tint="0.59996337778862885"/>
                </patternFill>
              </fill>
            </x14:dxf>
          </x14:cfRule>
          <xm:sqref>J9</xm:sqref>
        </x14:conditionalFormatting>
        <x14:conditionalFormatting xmlns:xm="http://schemas.microsoft.com/office/excel/2006/main">
          <x14:cfRule type="expression" priority="2" id="{1616C15E-01A5-429B-8D24-252440F27FE1}">
            <xm:f>+IF(Anagrafica!$G$2="Capo III",1,0)</xm:f>
            <x14:dxf>
              <font>
                <color theme="0"/>
              </font>
              <fill>
                <patternFill>
                  <bgColor theme="0"/>
                </patternFill>
              </fill>
              <border>
                <left/>
                <right/>
                <top/>
                <bottom/>
                <vertical/>
                <horizontal/>
              </border>
            </x14:dxf>
          </x14:cfRule>
          <xm:sqref>J10:J13</xm:sqref>
        </x14:conditionalFormatting>
        <x14:conditionalFormatting xmlns:xm="http://schemas.microsoft.com/office/excel/2006/main">
          <x14:cfRule type="expression" priority="1" id="{C69EBE4F-51D4-452E-BC89-79CB1498FE84}">
            <xm:f>+IF(Anagrafica!$G$2="Capo III",1,0)</xm:f>
            <x14:dxf>
              <border>
                <left/>
                <right/>
                <top style="thin">
                  <color auto="1"/>
                </top>
                <bottom/>
                <vertical/>
                <horizontal/>
              </border>
            </x14:dxf>
          </x14:cfRule>
          <xm:sqref>J10</xm:sqref>
        </x14:conditionalFormatting>
      </x14:conditionalFormatting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8A066-96C5-4A7A-9198-563876143C2E}">
  <sheetPr codeName="Foglio44"/>
  <dimension ref="A1:DF125"/>
  <sheetViews>
    <sheetView topLeftCell="CI1" workbookViewId="0">
      <selection activeCell="CQ3" sqref="CQ3"/>
    </sheetView>
  </sheetViews>
  <sheetFormatPr defaultRowHeight="14.5" x14ac:dyDescent="0.35"/>
  <cols>
    <col min="8" max="8" width="15.26953125" customWidth="1"/>
    <col min="34" max="34" width="13.1796875" customWidth="1"/>
    <col min="83" max="83" width="44.1796875" customWidth="1"/>
    <col min="84" max="84" width="14.7265625" customWidth="1"/>
    <col min="85" max="85" width="20" customWidth="1"/>
    <col min="86" max="86" width="13.26953125" customWidth="1"/>
    <col min="87" max="87" width="16.54296875" customWidth="1"/>
    <col min="88" max="88" width="12.7265625" customWidth="1"/>
    <col min="89" max="89" width="12.453125" customWidth="1"/>
    <col min="91" max="91" width="12" bestFit="1" customWidth="1"/>
    <col min="92" max="92" width="14.453125" customWidth="1"/>
    <col min="93" max="93" width="11" bestFit="1" customWidth="1"/>
    <col min="95" max="95" width="11" customWidth="1"/>
    <col min="96" max="96" width="9.453125" bestFit="1" customWidth="1"/>
    <col min="99" max="99" width="11.81640625" customWidth="1"/>
    <col min="100" max="100" width="9.453125" bestFit="1" customWidth="1"/>
    <col min="102" max="102" width="9.81640625" bestFit="1" customWidth="1"/>
    <col min="103" max="103" width="9.453125" bestFit="1" customWidth="1"/>
    <col min="106" max="107" width="11" bestFit="1" customWidth="1"/>
    <col min="109" max="109" width="13.1796875" customWidth="1"/>
    <col min="110" max="110" width="12" customWidth="1"/>
  </cols>
  <sheetData>
    <row r="1" spans="1:110" ht="15" thickBot="1" x14ac:dyDescent="0.4">
      <c r="H1" s="2238" t="s">
        <v>2279</v>
      </c>
      <c r="I1" s="2239"/>
      <c r="J1" s="2239"/>
      <c r="K1" s="2239"/>
      <c r="L1" s="2239"/>
      <c r="M1" s="2239"/>
      <c r="N1" s="2239"/>
      <c r="O1" s="2240"/>
      <c r="X1" s="2238" t="s">
        <v>2299</v>
      </c>
      <c r="Y1" s="2239"/>
      <c r="Z1" s="2239"/>
      <c r="AA1" s="2239"/>
      <c r="AB1" s="2239"/>
      <c r="AC1" s="2239"/>
      <c r="AD1" s="2239"/>
      <c r="AE1" s="2240"/>
      <c r="AN1" s="2238" t="s">
        <v>2309</v>
      </c>
      <c r="AO1" s="2239"/>
      <c r="AP1" s="2239"/>
      <c r="AQ1" s="2239"/>
      <c r="AR1" s="2239"/>
      <c r="AS1" s="2239"/>
      <c r="AT1" s="2239"/>
      <c r="AU1" s="2240"/>
      <c r="BD1" s="2238" t="s">
        <v>2321</v>
      </c>
      <c r="BE1" s="2239"/>
      <c r="BF1" s="2239"/>
      <c r="BG1" s="2239"/>
      <c r="BH1" s="2239"/>
      <c r="BI1" s="2239"/>
      <c r="BJ1" s="2239"/>
      <c r="BK1" s="2240"/>
      <c r="BN1" s="2238" t="s">
        <v>2322</v>
      </c>
      <c r="BO1" s="2239"/>
      <c r="BP1" s="2240"/>
      <c r="CN1" t="s">
        <v>2323</v>
      </c>
      <c r="CQ1" t="s">
        <v>2324</v>
      </c>
      <c r="CU1" t="s">
        <v>2296</v>
      </c>
      <c r="CX1" t="s">
        <v>2325</v>
      </c>
      <c r="DB1" t="s">
        <v>2326</v>
      </c>
      <c r="DE1" t="s">
        <v>2327</v>
      </c>
    </row>
    <row r="2" spans="1:110" x14ac:dyDescent="0.35">
      <c r="A2" t="str">
        <f>+$CE$4</f>
        <v>Acquisto immobile sede dell'attività</v>
      </c>
      <c r="B2" t="str">
        <f>+$CE$5</f>
        <v>Opere murarie e assimilate</v>
      </c>
      <c r="C2" t="str">
        <f>+$CE$6</f>
        <v>Macchinari, impianti ed attrezzature</v>
      </c>
      <c r="D2" t="str">
        <f>+$CE$7</f>
        <v>Programmi informatici, brevetti, licenze e marchi</v>
      </c>
      <c r="E2" t="str">
        <f>+$CE$8</f>
        <v>TOTALE PROGRAMMA DI SPESA</v>
      </c>
      <c r="F2" t="str">
        <f>+$CE$9</f>
        <v/>
      </c>
      <c r="H2" s="1196" t="s">
        <v>2281</v>
      </c>
      <c r="I2" t="s">
        <v>2282</v>
      </c>
      <c r="J2" t="s">
        <v>2283</v>
      </c>
      <c r="K2" t="s">
        <v>402</v>
      </c>
      <c r="L2" t="s">
        <v>2069</v>
      </c>
      <c r="M2" t="s">
        <v>2262</v>
      </c>
      <c r="N2" t="s">
        <v>2263</v>
      </c>
      <c r="Q2" t="str">
        <f>+$CE$4</f>
        <v>Acquisto immobile sede dell'attività</v>
      </c>
      <c r="R2" t="str">
        <f>+$CE$5</f>
        <v>Opere murarie e assimilate</v>
      </c>
      <c r="S2" t="str">
        <f>+$CE$6</f>
        <v>Macchinari, impianti ed attrezzature</v>
      </c>
      <c r="T2" t="str">
        <f>+$CE$7</f>
        <v>Programmi informatici, brevetti, licenze e marchi</v>
      </c>
      <c r="U2" t="str">
        <f>+$CE$8</f>
        <v>TOTALE PROGRAMMA DI SPESA</v>
      </c>
      <c r="V2" t="str">
        <f>+$CE$9</f>
        <v/>
      </c>
      <c r="X2" s="1196" t="s">
        <v>2281</v>
      </c>
      <c r="Y2" t="s">
        <v>2282</v>
      </c>
      <c r="Z2" t="s">
        <v>2283</v>
      </c>
      <c r="AA2" t="s">
        <v>402</v>
      </c>
      <c r="AB2" t="s">
        <v>2069</v>
      </c>
      <c r="AC2" t="s">
        <v>2262</v>
      </c>
      <c r="AD2" t="s">
        <v>2263</v>
      </c>
      <c r="AG2" t="str">
        <f>+$CE$4</f>
        <v>Acquisto immobile sede dell'attività</v>
      </c>
      <c r="AH2" t="str">
        <f>+$CE$5</f>
        <v>Opere murarie e assimilate</v>
      </c>
      <c r="AI2" t="str">
        <f>+$CE$6</f>
        <v>Macchinari, impianti ed attrezzature</v>
      </c>
      <c r="AJ2" t="str">
        <f>+$CE$7</f>
        <v>Programmi informatici, brevetti, licenze e marchi</v>
      </c>
      <c r="AK2" t="str">
        <f>+$CE$8</f>
        <v>TOTALE PROGRAMMA DI SPESA</v>
      </c>
      <c r="AL2" t="str">
        <f>+$CE$9</f>
        <v/>
      </c>
      <c r="AN2" s="1196" t="s">
        <v>2281</v>
      </c>
      <c r="AO2" t="s">
        <v>2282</v>
      </c>
      <c r="AP2" t="s">
        <v>2283</v>
      </c>
      <c r="AQ2" t="s">
        <v>402</v>
      </c>
      <c r="AR2" t="s">
        <v>2069</v>
      </c>
      <c r="AS2" t="s">
        <v>2262</v>
      </c>
      <c r="AT2" t="s">
        <v>2263</v>
      </c>
      <c r="AW2" t="str">
        <f>+$CE$4</f>
        <v>Acquisto immobile sede dell'attività</v>
      </c>
      <c r="AX2" t="str">
        <f>+$CE$5</f>
        <v>Opere murarie e assimilate</v>
      </c>
      <c r="AY2" t="str">
        <f>+$CE$6</f>
        <v>Macchinari, impianti ed attrezzature</v>
      </c>
      <c r="AZ2" t="str">
        <f>+$CE$7</f>
        <v>Programmi informatici, brevetti, licenze e marchi</v>
      </c>
      <c r="BA2" t="str">
        <f>+$CE$8</f>
        <v>TOTALE PROGRAMMA DI SPESA</v>
      </c>
      <c r="BB2" t="str">
        <f>+$CE$9</f>
        <v/>
      </c>
      <c r="BD2" s="1196" t="s">
        <v>2281</v>
      </c>
      <c r="BE2" t="s">
        <v>2282</v>
      </c>
      <c r="BF2" t="s">
        <v>2283</v>
      </c>
      <c r="BG2" t="s">
        <v>402</v>
      </c>
      <c r="BH2" t="s">
        <v>2069</v>
      </c>
      <c r="BI2" t="s">
        <v>2262</v>
      </c>
      <c r="BJ2" t="s">
        <v>2263</v>
      </c>
      <c r="BN2" t="s">
        <v>2284</v>
      </c>
      <c r="BO2" t="s">
        <v>563</v>
      </c>
      <c r="BP2" t="s">
        <v>2285</v>
      </c>
      <c r="BQ2" t="s">
        <v>2286</v>
      </c>
      <c r="BU2" s="1197" t="s">
        <v>2287</v>
      </c>
      <c r="BV2" s="1197" t="s">
        <v>567</v>
      </c>
      <c r="BW2" t="str">
        <f>+$CE$4</f>
        <v>Acquisto immobile sede dell'attività</v>
      </c>
      <c r="BX2" t="str">
        <f>+$CE$5</f>
        <v>Opere murarie e assimilate</v>
      </c>
      <c r="BY2" t="str">
        <f>+$CE$6</f>
        <v>Macchinari, impianti ed attrezzature</v>
      </c>
      <c r="BZ2" t="str">
        <f>+$CE$7</f>
        <v>Programmi informatici, brevetti, licenze e marchi</v>
      </c>
      <c r="CA2" t="str">
        <f>+$CE$8</f>
        <v>TOTALE PROGRAMMA DI SPESA</v>
      </c>
      <c r="CB2" t="str">
        <f>+$CE$9</f>
        <v/>
      </c>
      <c r="CG2" t="s">
        <v>2245</v>
      </c>
      <c r="CI2" t="s">
        <v>2246</v>
      </c>
      <c r="CN2" t="s">
        <v>1694</v>
      </c>
      <c r="CO2" t="s">
        <v>448</v>
      </c>
      <c r="CQ2" t="s">
        <v>2328</v>
      </c>
      <c r="CR2" t="s">
        <v>448</v>
      </c>
      <c r="CU2" t="s">
        <v>2328</v>
      </c>
      <c r="CV2" t="s">
        <v>448</v>
      </c>
      <c r="CX2" t="s">
        <v>2328</v>
      </c>
      <c r="CY2" t="s">
        <v>2329</v>
      </c>
      <c r="DB2" t="s">
        <v>2328</v>
      </c>
      <c r="DC2" t="s">
        <v>448</v>
      </c>
      <c r="DE2" s="316" t="s">
        <v>2328</v>
      </c>
      <c r="DF2" t="s">
        <v>448</v>
      </c>
    </row>
    <row r="3" spans="1:110" x14ac:dyDescent="0.35">
      <c r="A3" t="str">
        <f ca="1">IFERROR(IF($K3=A$2,_xlfn.CONCAT($I3,$J3),"NO"),0)</f>
        <v>NO</v>
      </c>
      <c r="B3" t="str">
        <f ca="1">IFERROR(IF($K3=B$2,_xlfn.CONCAT($I3,$J3),"NO"),0)</f>
        <v>NO</v>
      </c>
      <c r="C3" t="str">
        <f t="shared" ref="C3:F18" ca="1" si="0">IFERROR(IF($K3=C$2,_xlfn.CONCAT($I3,$J3),"NO"),0)</f>
        <v>NO</v>
      </c>
      <c r="D3">
        <f t="shared" ca="1" si="0"/>
        <v>0</v>
      </c>
      <c r="E3" t="str">
        <f t="shared" ca="1" si="0"/>
        <v>NO</v>
      </c>
      <c r="F3" t="str">
        <f t="shared" ca="1" si="0"/>
        <v>NO</v>
      </c>
      <c r="H3" s="1196" t="e">
        <f ca="1">_xlfn.CONCAT(I3,J3,)</f>
        <v>#REF!</v>
      </c>
      <c r="I3" t="e" cm="1">
        <f t="array" aca="1" ref="I3" ca="1">+FORNITOREISAL</f>
        <v>#REF!</v>
      </c>
      <c r="J3" t="e" cm="1">
        <f t="array" aca="1" ref="J3" ca="1">+NfatturaISAL</f>
        <v>#REF!</v>
      </c>
      <c r="K3" t="str" cm="1">
        <f t="array" aca="1" ref="K3:K6" ca="1">+Categoriesal1</f>
        <v>Programmi informatici, brevetti, licenze e marchi</v>
      </c>
      <c r="L3" t="e" cm="1">
        <f t="array" aca="1" ref="L3" ca="1">+Ammessosal1</f>
        <v>#REF!</v>
      </c>
      <c r="M3" t="e" cm="1">
        <f t="array" aca="1" ref="M3" ca="1">+Quietanzasal1</f>
        <v>#REF!</v>
      </c>
      <c r="N3" t="e" cm="1">
        <f t="array" aca="1" ref="N3" ca="1">IF(+Quietanzasal1="si",1,0)*Ammessosal1</f>
        <v>#REF!</v>
      </c>
      <c r="Q3">
        <f ca="1">IFERROR(IF($AA3=Q$2,_xlfn.CONCAT($Y3,$Z3),"NO"),0)</f>
        <v>0</v>
      </c>
      <c r="R3">
        <f t="shared" ref="R3:V18" ca="1" si="1">IFERROR(IF($AA3=R$2,_xlfn.CONCAT($Y3,$Z3),"NO"),0)</f>
        <v>0</v>
      </c>
      <c r="S3">
        <f t="shared" ca="1" si="1"/>
        <v>0</v>
      </c>
      <c r="T3">
        <f t="shared" ca="1" si="1"/>
        <v>0</v>
      </c>
      <c r="U3">
        <f t="shared" ca="1" si="1"/>
        <v>0</v>
      </c>
      <c r="V3">
        <f t="shared" ca="1" si="1"/>
        <v>0</v>
      </c>
      <c r="W3" t="str">
        <f t="shared" ref="W3" si="2">IF(AV3=W2,_xlfn.CONCAT(AE3,AU3))</f>
        <v/>
      </c>
      <c r="X3" s="1196" t="e">
        <f ca="1">_xlfn.CONCAT(Y3,Z3,)</f>
        <v>#REF!</v>
      </c>
      <c r="Y3" t="e" cm="1">
        <f t="array" aca="1" ref="Y3" ca="1">+FORNITOREIISAL</f>
        <v>#REF!</v>
      </c>
      <c r="Z3" t="e" cm="1">
        <f t="array" aca="1" ref="Z3" ca="1">+NfatturaIISAL</f>
        <v>#REF!</v>
      </c>
      <c r="AA3" t="e" cm="1">
        <f t="array" aca="1" ref="AA3" ca="1">+Categoriesal2</f>
        <v>#REF!</v>
      </c>
      <c r="AB3" t="e" cm="1">
        <f t="array" aca="1" ref="AB3" ca="1">+Ammessosal2</f>
        <v>#REF!</v>
      </c>
      <c r="AC3" t="e" cm="1">
        <f t="array" aca="1" ref="AC3" ca="1">+Quietanzasal2</f>
        <v>#REF!</v>
      </c>
      <c r="AD3" t="e" cm="1">
        <f t="array" aca="1" ref="AD3" ca="1">IF(+Quietanzasal2="si",1,0)*Ammessosal2</f>
        <v>#REF!</v>
      </c>
      <c r="AG3">
        <f ca="1">IFERROR(IF($AQ3=AG$2,_xlfn.CONCAT($AO3,$AP3),"NO"),0)</f>
        <v>0</v>
      </c>
      <c r="AH3">
        <f t="shared" ref="AH3:AL18" ca="1" si="3">IFERROR(IF($AQ3=AH$2,_xlfn.CONCAT($AO3,$AP3),"NO"),0)</f>
        <v>0</v>
      </c>
      <c r="AI3">
        <f t="shared" ca="1" si="3"/>
        <v>0</v>
      </c>
      <c r="AJ3">
        <f t="shared" ca="1" si="3"/>
        <v>0</v>
      </c>
      <c r="AK3">
        <f t="shared" ca="1" si="3"/>
        <v>0</v>
      </c>
      <c r="AL3">
        <f t="shared" ca="1" si="3"/>
        <v>0</v>
      </c>
      <c r="AN3" s="1196" t="e">
        <f ca="1">_xlfn.CONCAT(AO3,AP3,)</f>
        <v>#REF!</v>
      </c>
      <c r="AO3" t="e" cm="1">
        <f t="array" aca="1" ref="AO3" ca="1">+FORNITOREIIISAL</f>
        <v>#REF!</v>
      </c>
      <c r="AP3" t="e" cm="1">
        <f t="array" aca="1" ref="AP3" ca="1">+NfatturaIIISAL</f>
        <v>#REF!</v>
      </c>
      <c r="AQ3" t="e" cm="1">
        <f t="array" aca="1" ref="AQ3" ca="1">+Categoriesal3</f>
        <v>#REF!</v>
      </c>
      <c r="AR3" t="e" cm="1">
        <f t="array" aca="1" ref="AR3" ca="1">+Ammessosal3</f>
        <v>#REF!</v>
      </c>
      <c r="AS3" t="e" cm="1">
        <f t="array" aca="1" ref="AS3" ca="1">+Quietanzasal3</f>
        <v>#REF!</v>
      </c>
      <c r="AT3" t="e" cm="1">
        <f t="array" aca="1" ref="AT3" ca="1">IF(+Quietanzasal3="si",1,0)*Ammessosal3</f>
        <v>#REF!</v>
      </c>
      <c r="AW3" t="str">
        <f ca="1">IFERROR(IF($BG3=AW$2,_xlfn.CONCAT($BE3,$BF3),"NO"),0)</f>
        <v>NO</v>
      </c>
      <c r="AX3">
        <f t="shared" ref="AX3:BB18" ca="1" si="4">IFERROR(IF($BG3=AX$2,_xlfn.CONCAT($BE3,$BF3),"NO"),0)</f>
        <v>0</v>
      </c>
      <c r="AY3" t="str">
        <f t="shared" ca="1" si="4"/>
        <v>NO</v>
      </c>
      <c r="AZ3" t="str">
        <f t="shared" ca="1" si="4"/>
        <v>NO</v>
      </c>
      <c r="BA3" t="str">
        <f t="shared" ca="1" si="4"/>
        <v>NO</v>
      </c>
      <c r="BB3" t="str">
        <f t="shared" ca="1" si="4"/>
        <v>NO</v>
      </c>
      <c r="BD3" s="1196" t="e">
        <f ca="1">_xlfn.CONCAT(BE3,BF3,)</f>
        <v>#REF!</v>
      </c>
      <c r="BE3" t="e" cm="1">
        <f t="array" aca="1" ref="BE3" ca="1">+FORNITOREIVSAL</f>
        <v>#REF!</v>
      </c>
      <c r="BF3" t="e" cm="1">
        <f t="array" aca="1" ref="BF3" ca="1">+NfatturaIVSAL</f>
        <v>#REF!</v>
      </c>
      <c r="BG3" t="str" cm="1">
        <f t="array" aca="1" ref="BG3:BG4" ca="1">+Categoriesal4</f>
        <v>Opere murarie e assimilate</v>
      </c>
      <c r="BH3" cm="1">
        <f t="array" aca="1" ref="BH3:BH4" ca="1">+Ammessosal4</f>
        <v>0</v>
      </c>
      <c r="BI3" t="e" cm="1">
        <f t="array" aca="1" ref="BI3" ca="1">+Quietanzasal4</f>
        <v>#REF!</v>
      </c>
      <c r="BJ3" t="e" cm="1">
        <f t="array" aca="1" ref="BJ3:BJ4" ca="1">IF(+Quietanzasal4="si",1,0)*Ammessosal4</f>
        <v>#REF!</v>
      </c>
      <c r="BN3" t="e" cm="1">
        <f t="array" aca="1" ref="BN3" ca="1">+NFATTURAdaquietanzaredelIVSAL</f>
        <v>#REF!</v>
      </c>
      <c r="BO3" t="e" cm="1">
        <f t="array" aca="1" ref="BO3" ca="1">+FORNITOREdaquietanzaredeIIVSAL</f>
        <v>#REF!</v>
      </c>
      <c r="BP3" t="e" cm="1">
        <f t="array" aca="1" ref="BP3" ca="1">+VettoreQUIETANZATEIVSAL</f>
        <v>#REF!</v>
      </c>
      <c r="BQ3" s="1196" t="e">
        <f ca="1">+IF(BP3="si",_xlfn.CONCAT(BO3,BN3),"")</f>
        <v>#REF!</v>
      </c>
      <c r="BR3" t="e" cm="1">
        <f t="array" aca="1" ref="BR3:BR5" ca="1">+_xlfn.UNIQUE(BQ3:BQ1048576)</f>
        <v>#REF!</v>
      </c>
      <c r="BU3" s="1198" t="str" cm="1">
        <f t="array" aca="1" ref="BU3:BU6" ca="1">+Categoriesal1</f>
        <v>Programmi informatici, brevetti, licenze e marchi</v>
      </c>
      <c r="BV3" s="1198">
        <f ca="1">IFERROR(VLOOKUP(BS3,S$2:AG$1048576,12,FALSE),0)</f>
        <v>0</v>
      </c>
      <c r="BW3" s="1196">
        <f ca="1">SUMIF(A:A,$BR3,$L:$L)+SUMIF(Q:Q,$BR3,$AB:$AB)+SUMIF(AG:AG,$BR3,$AR:$AR)+SUMIF(AW:AW,$BR3,$BH:$BH)</f>
        <v>0</v>
      </c>
      <c r="BX3" s="1196">
        <f t="shared" ref="BX3:CB3" ca="1" si="5">SUMIF(B:B,$BR3,$L:$L)+SUMIF(R:R,$BR3,$AB:$AB)+SUMIF(AH:AH,$BR3,$AR:$AR)+SUMIF(AX:AX,$BR3,$BH:$BH)</f>
        <v>0</v>
      </c>
      <c r="BY3" s="1196">
        <f t="shared" ca="1" si="5"/>
        <v>0</v>
      </c>
      <c r="BZ3" s="1196">
        <f t="shared" ca="1" si="5"/>
        <v>0</v>
      </c>
      <c r="CA3" s="1196">
        <f t="shared" ca="1" si="5"/>
        <v>0</v>
      </c>
      <c r="CB3" s="1196">
        <f t="shared" ca="1" si="5"/>
        <v>0</v>
      </c>
      <c r="CE3" t="s">
        <v>2067</v>
      </c>
      <c r="CF3" t="s">
        <v>2288</v>
      </c>
      <c r="CG3" t="s">
        <v>2068</v>
      </c>
      <c r="CH3" t="s">
        <v>2289</v>
      </c>
      <c r="CI3" t="s">
        <v>2290</v>
      </c>
      <c r="CM3" t="s">
        <v>2330</v>
      </c>
      <c r="CN3" s="779">
        <f ca="1">+IFERROR(+IF(Anagrafica!$G$2="Capo II",+'1 SAL VNQ TAB'!$O$11,'1 SAL VNQ TAB'!$O$9),0)</f>
        <v>0</v>
      </c>
      <c r="CO3" s="779">
        <f ca="1">+IFERROR(+IF(Anagrafica!$G$2="Capo II",+'1 SAL VNQ TAB'!$N$11,'1 SAL VNQ TAB'!$N$9),0)</f>
        <v>0</v>
      </c>
      <c r="CQ3" s="779" t="str" cm="1">
        <f t="array" aca="1" ref="CQ3" ca="1">+LOOKUP(2,1/(CN:CN&gt;0),CN:CN)</f>
        <v>MUTUO</v>
      </c>
      <c r="CR3" s="779" t="str" cm="1">
        <f t="array" aca="1" ref="CR3" ca="1">+LOOKUP(2,1/(CO:CO&gt;0),CO:CO)</f>
        <v>FP</v>
      </c>
      <c r="CT3" t="s">
        <v>2330</v>
      </c>
      <c r="CU3">
        <v>0</v>
      </c>
      <c r="CV3">
        <v>0</v>
      </c>
      <c r="CX3" s="779" t="e">
        <f ca="1">INDEX(CT3:CU6,MATCH(+INDEX(CM3:CN6,MATCH(CQ3,CN3:CN6,0),1),CT3:CT6,0),2)</f>
        <v>#N/A</v>
      </c>
      <c r="CY3" s="779" t="e">
        <f ca="1">-CX3</f>
        <v>#N/A</v>
      </c>
      <c r="DB3" s="264">
        <f ca="1">+SUM(CN3:CN6)</f>
        <v>0</v>
      </c>
      <c r="DC3" s="264">
        <f ca="1">+SUM(CO3:CO6)</f>
        <v>0</v>
      </c>
      <c r="DE3" s="264" t="e">
        <f ca="1">+'2 SAL VNQ'!AL14+'3 SAL VNQ'!BA14+'4 SAL VNQ'!BR14+'SALDO SAL VNQ'!CH14</f>
        <v>#DIV/0!</v>
      </c>
      <c r="DF3" s="264" t="e">
        <f ca="1">+'2 SAL VNQ'!AM14+'3 SAL VNQ'!BB14+'4 SAL VNQ'!BS14+'SALDO SAL VNQ'!CI14</f>
        <v>#DIV/0!</v>
      </c>
    </row>
    <row r="4" spans="1:110" x14ac:dyDescent="0.35">
      <c r="A4" t="str">
        <f t="shared" ref="A4:F35" ca="1" si="6">IFERROR(IF($K4=A$2,_xlfn.CONCAT($I4,$J4),"NO"),0)</f>
        <v>NO</v>
      </c>
      <c r="B4" t="str">
        <f t="shared" ca="1" si="6"/>
        <v/>
      </c>
      <c r="C4" t="str">
        <f t="shared" ca="1" si="0"/>
        <v>NO</v>
      </c>
      <c r="D4" t="str">
        <f t="shared" ca="1" si="0"/>
        <v>NO</v>
      </c>
      <c r="E4" t="str">
        <f t="shared" ca="1" si="0"/>
        <v>NO</v>
      </c>
      <c r="F4" t="str">
        <f t="shared" ca="1" si="0"/>
        <v>NO</v>
      </c>
      <c r="H4" s="1196" t="str">
        <f t="shared" ref="H4:H67" si="7">_xlfn.CONCAT(I4,J4,)</f>
        <v/>
      </c>
      <c r="K4" t="str">
        <f ca="1"/>
        <v>Opere murarie e assimilate</v>
      </c>
      <c r="Q4" t="str">
        <f t="shared" ref="Q4:V35" si="8">IFERROR(IF($AA4=Q$2,_xlfn.CONCAT($Y4,$Z4),"NO"),0)</f>
        <v>NO</v>
      </c>
      <c r="R4" t="str">
        <f t="shared" si="1"/>
        <v>NO</v>
      </c>
      <c r="S4" t="str">
        <f t="shared" si="1"/>
        <v>NO</v>
      </c>
      <c r="T4" t="str">
        <f t="shared" si="1"/>
        <v>NO</v>
      </c>
      <c r="U4" t="str">
        <f t="shared" si="1"/>
        <v>NO</v>
      </c>
      <c r="V4" t="str">
        <f t="shared" si="1"/>
        <v/>
      </c>
      <c r="W4" t="str">
        <f t="shared" ref="W4:W67" si="9">IF(AV4=W3,_xlfn.CONCAT(AE4,AU4))</f>
        <v/>
      </c>
      <c r="X4" s="1196" t="str">
        <f t="shared" ref="X4:X67" si="10">_xlfn.CONCAT(Y4,Z4,)</f>
        <v/>
      </c>
      <c r="AG4" t="str">
        <f t="shared" ref="AG4:AL35" si="11">IFERROR(IF($AQ4=AG$2,_xlfn.CONCAT($AO4,$AP4),"NO"),0)</f>
        <v>NO</v>
      </c>
      <c r="AH4" t="str">
        <f t="shared" si="3"/>
        <v>NO</v>
      </c>
      <c r="AI4" t="str">
        <f t="shared" si="3"/>
        <v>NO</v>
      </c>
      <c r="AJ4" t="str">
        <f t="shared" si="3"/>
        <v>NO</v>
      </c>
      <c r="AK4" t="str">
        <f t="shared" si="3"/>
        <v>NO</v>
      </c>
      <c r="AL4" t="str">
        <f t="shared" si="3"/>
        <v/>
      </c>
      <c r="AN4" s="1196" t="str">
        <f t="shared" ref="AN4:AN67" si="12">_xlfn.CONCAT(AO4,AP4,)</f>
        <v/>
      </c>
      <c r="AW4" t="str">
        <f t="shared" ref="AW4:BB35" ca="1" si="13">IFERROR(IF($BG4=AW$2,_xlfn.CONCAT($BE4,$BF4),"NO"),0)</f>
        <v>NO</v>
      </c>
      <c r="AX4" t="str">
        <f t="shared" ca="1" si="4"/>
        <v>NO</v>
      </c>
      <c r="AY4" t="str">
        <f t="shared" ca="1" si="4"/>
        <v/>
      </c>
      <c r="AZ4" t="str">
        <f t="shared" ca="1" si="4"/>
        <v>NO</v>
      </c>
      <c r="BA4" t="str">
        <f t="shared" ca="1" si="4"/>
        <v>NO</v>
      </c>
      <c r="BB4" t="str">
        <f t="shared" ca="1" si="4"/>
        <v>NO</v>
      </c>
      <c r="BD4" s="1196" t="str">
        <f t="shared" ref="BD4:BD67" si="14">_xlfn.CONCAT(BE4,BF4,)</f>
        <v/>
      </c>
      <c r="BG4" t="str">
        <f ca="1"/>
        <v>Macchinari, impianti ed attrezzature</v>
      </c>
      <c r="BH4">
        <f ca="1"/>
        <v>0</v>
      </c>
      <c r="BJ4" t="e">
        <f ca="1"/>
        <v>#REF!</v>
      </c>
      <c r="BQ4" s="1196" t="str">
        <f t="shared" ref="BQ4:BQ67" si="15">+IF(BP4="si",_xlfn.CONCAT(BO4,BN4),"")</f>
        <v/>
      </c>
      <c r="BR4" t="str">
        <f ca="1"/>
        <v/>
      </c>
      <c r="BU4" s="1198" t="str">
        <f ca="1"/>
        <v>Opere murarie e assimilate</v>
      </c>
      <c r="BV4" s="1198">
        <f ca="1">IFERROR(VLOOKUP(BS4,S$2:AG$1048576,12,FALSE),0)</f>
        <v>0</v>
      </c>
      <c r="BW4" s="1196">
        <f t="shared" ref="BW4:BW19" ca="1" si="16">SUMIF(A:A,$BR4,$L:$L)+SUMIF(Q:Q,$BR4,$AB:$AB)+SUMIF(AG:AG,$BR4,$AR:$AR)+SUMIF(AW:AW,$BR4,$BH:$BH)</f>
        <v>0</v>
      </c>
      <c r="BX4" s="1196">
        <f t="shared" ref="BX4:BX19" ca="1" si="17">SUMIF(B:B,$BR4,$L:$L)+SUMIF(R:R,$BR4,$AB:$AB)+SUMIF(AH:AH,$BR4,$AR:$AR)+SUMIF(AX:AX,$BR4,$BH:$BH)</f>
        <v>0</v>
      </c>
      <c r="BY4" s="1196">
        <f t="shared" ref="BY4:BY19" ca="1" si="18">SUMIF(C:C,$BR4,$L:$L)+SUMIF(S:S,$BR4,$AB:$AB)+SUMIF(AI:AI,$BR4,$AR:$AR)+SUMIF(AY:AY,$BR4,$BH:$BH)</f>
        <v>0</v>
      </c>
      <c r="BZ4" s="1196">
        <f t="shared" ref="BZ4:BZ19" ca="1" si="19">SUMIF(D:D,$BR4,$L:$L)+SUMIF(T:T,$BR4,$AB:$AB)+SUMIF(AJ:AJ,$BR4,$AR:$AR)+SUMIF(AZ:AZ,$BR4,$BH:$BH)</f>
        <v>0</v>
      </c>
      <c r="CA4" s="1196">
        <f t="shared" ref="CA4:CA19" ca="1" si="20">SUMIF(E:E,$BR4,$L:$L)+SUMIF(U:U,$BR4,$AB:$AB)+SUMIF(AK:AK,$BR4,$AR:$AR)+SUMIF(BA:BA,$BR4,$BH:$BH)</f>
        <v>0</v>
      </c>
      <c r="CB4" s="1196">
        <f t="shared" ref="CB4:CB19" ca="1" si="21">SUMIF(F:F,$BR4,$L:$L)+SUMIF(V:V,$BR4,$AB:$AB)+SUMIF(AL:AL,$BR4,$AR:$AR)+SUMIF(BB:BB,$BR4,$BH:$BH)</f>
        <v>0</v>
      </c>
      <c r="CE4" t="str">
        <f>+IF(Anagrafica!$G$2="Capo II","Opere murarie e assimilate","Acquisto immobile sede dell'attività")</f>
        <v>Acquisto immobile sede dell'attività</v>
      </c>
      <c r="CF4">
        <f ca="1">SUM(BV:BV)</f>
        <v>0</v>
      </c>
      <c r="CG4" s="1215">
        <f>+'1 SAL'!T110</f>
        <v>0</v>
      </c>
      <c r="CH4" s="316">
        <f ca="1">IFERROR(+CF4*Anagrafica!W38,"")</f>
        <v>0</v>
      </c>
      <c r="CI4" s="316">
        <v>0</v>
      </c>
      <c r="CM4" t="s">
        <v>2331</v>
      </c>
      <c r="CN4" s="779">
        <f ca="1">+IFERROR(+IF(Anagrafica!$G$2="Capo II",+'2 SAL VNQ TAB'!$O$11,'2 SAL VNQ TAB'!$O$9),0)</f>
        <v>0</v>
      </c>
      <c r="CO4" s="779">
        <f ca="1">+IFERROR(+IF(Anagrafica!$G$2="Capo II",+'2 SAL VNQ TAB'!$N$11,'2 SAL VNQ TAB'!$N$9),0)</f>
        <v>0</v>
      </c>
      <c r="CT4" t="s">
        <v>2331</v>
      </c>
      <c r="CU4" s="264">
        <f ca="1">+'2 SAL VNQ'!AL24</f>
        <v>0</v>
      </c>
      <c r="CV4" s="264">
        <f ca="1">-CU4</f>
        <v>0</v>
      </c>
    </row>
    <row r="5" spans="1:110" x14ac:dyDescent="0.35">
      <c r="A5" t="str">
        <f t="shared" ca="1" si="6"/>
        <v>NO</v>
      </c>
      <c r="B5" t="str">
        <f t="shared" ca="1" si="6"/>
        <v>NO</v>
      </c>
      <c r="C5" t="str">
        <f t="shared" ca="1" si="0"/>
        <v>NO</v>
      </c>
      <c r="D5" t="str">
        <f t="shared" ca="1" si="0"/>
        <v>NO</v>
      </c>
      <c r="E5" t="str">
        <f t="shared" ca="1" si="0"/>
        <v>NO</v>
      </c>
      <c r="F5" t="str">
        <f t="shared" ca="1" si="0"/>
        <v>NO</v>
      </c>
      <c r="H5" s="1196" t="str">
        <f t="shared" si="7"/>
        <v/>
      </c>
      <c r="K5" t="str">
        <f ca="1"/>
        <v>Oneri notarili connessi alla stipula del contratto di finanziamento ed oneri connessi alla costituzione della società</v>
      </c>
      <c r="Q5" t="str">
        <f t="shared" si="8"/>
        <v>NO</v>
      </c>
      <c r="R5" t="str">
        <f t="shared" si="1"/>
        <v>NO</v>
      </c>
      <c r="S5" t="str">
        <f t="shared" si="1"/>
        <v>NO</v>
      </c>
      <c r="T5" t="str">
        <f t="shared" si="1"/>
        <v>NO</v>
      </c>
      <c r="U5" t="str">
        <f t="shared" si="1"/>
        <v>NO</v>
      </c>
      <c r="V5" t="str">
        <f t="shared" si="1"/>
        <v/>
      </c>
      <c r="W5" t="str">
        <f t="shared" si="9"/>
        <v/>
      </c>
      <c r="X5" s="1196" t="str">
        <f t="shared" si="10"/>
        <v/>
      </c>
      <c r="AG5" t="str">
        <f t="shared" si="11"/>
        <v>NO</v>
      </c>
      <c r="AH5" t="str">
        <f t="shared" si="3"/>
        <v>NO</v>
      </c>
      <c r="AI5" t="str">
        <f t="shared" si="3"/>
        <v>NO</v>
      </c>
      <c r="AJ5" t="str">
        <f t="shared" si="3"/>
        <v>NO</v>
      </c>
      <c r="AK5" t="str">
        <f t="shared" si="3"/>
        <v>NO</v>
      </c>
      <c r="AL5" t="str">
        <f t="shared" si="3"/>
        <v/>
      </c>
      <c r="AN5" s="1196" t="str">
        <f t="shared" si="12"/>
        <v/>
      </c>
      <c r="AW5" t="str">
        <f t="shared" si="13"/>
        <v>NO</v>
      </c>
      <c r="AX5" t="str">
        <f t="shared" si="4"/>
        <v>NO</v>
      </c>
      <c r="AY5" t="str">
        <f t="shared" si="4"/>
        <v>NO</v>
      </c>
      <c r="AZ5" t="str">
        <f t="shared" si="4"/>
        <v>NO</v>
      </c>
      <c r="BA5" t="str">
        <f t="shared" si="4"/>
        <v>NO</v>
      </c>
      <c r="BB5" t="str">
        <f t="shared" si="4"/>
        <v/>
      </c>
      <c r="BD5" s="1196" t="str">
        <f t="shared" si="14"/>
        <v/>
      </c>
      <c r="BQ5" s="1196" t="str">
        <f t="shared" si="15"/>
        <v/>
      </c>
      <c r="BR5">
        <f ca="1"/>
        <v>0</v>
      </c>
      <c r="BU5" s="1198" t="str">
        <f ca="1"/>
        <v>Oneri notarili connessi alla stipula del contratto di finanziamento ed oneri connessi alla costituzione della società</v>
      </c>
      <c r="BV5" s="1198">
        <f ca="1">IFERROR(VLOOKUP(BS5,S$2:AG$1048576,12,FALSE),0)</f>
        <v>0</v>
      </c>
      <c r="BW5" s="1196" t="e">
        <f t="shared" ca="1" si="16"/>
        <v>#REF!</v>
      </c>
      <c r="BX5" s="1196" t="e">
        <f t="shared" ca="1" si="17"/>
        <v>#REF!</v>
      </c>
      <c r="BY5" s="1196" t="e">
        <f t="shared" ca="1" si="18"/>
        <v>#REF!</v>
      </c>
      <c r="BZ5" s="1196" t="e">
        <f t="shared" ca="1" si="19"/>
        <v>#REF!</v>
      </c>
      <c r="CA5" s="1196" t="e">
        <f t="shared" ca="1" si="20"/>
        <v>#REF!</v>
      </c>
      <c r="CB5" s="1196" t="e">
        <f t="shared" ca="1" si="21"/>
        <v>#REF!</v>
      </c>
      <c r="CE5" t="str">
        <f>+IF(Anagrafica!$G$2="Capo II","Macchinari, impianti ed attrezzature","Opere murarie e assimilate")</f>
        <v>Opere murarie e assimilate</v>
      </c>
      <c r="CF5" t="e">
        <f ca="1">SUM(BW:BW)</f>
        <v>#REF!</v>
      </c>
      <c r="CG5" s="1215">
        <f>+'1 SAL'!T111</f>
        <v>0</v>
      </c>
      <c r="CH5" s="1213" t="e">
        <f ca="1">+IF(Anagrafica!$G$2="Capo II",(CF5*Anagrafica!$F$38-CI5),CF5*Anagrafica!$F$38)</f>
        <v>#REF!</v>
      </c>
      <c r="CI5" s="316">
        <f ca="1">+IFERROR((CF5/'Calcolo contributo CAPO II'!$C$23)*Anagrafica!$C$37,0)</f>
        <v>0</v>
      </c>
      <c r="CM5" t="s">
        <v>2332</v>
      </c>
      <c r="CN5" s="779">
        <f ca="1">IFERROR(+IF(Anagrafica!$G$2="Capo II",+'3 SAL VNQ TAB'!$O$11,'3 SAL VNQ TAB'!$O$9),0)</f>
        <v>0</v>
      </c>
      <c r="CO5" s="779">
        <f ca="1">+IFERROR(+IF(Anagrafica!$G$2="Capo II",+'3 SAL VNQ TAB'!$N$11,'3 SAL VNQ TAB'!$N$9),0)</f>
        <v>0</v>
      </c>
      <c r="CT5" t="s">
        <v>2332</v>
      </c>
      <c r="CU5" s="264">
        <f ca="1">+'3 SAL VNQ'!BA26</f>
        <v>0</v>
      </c>
      <c r="CV5" s="264">
        <f ca="1">-CU5</f>
        <v>0</v>
      </c>
    </row>
    <row r="6" spans="1:110" x14ac:dyDescent="0.35">
      <c r="A6" t="str">
        <f t="shared" ca="1" si="6"/>
        <v>NO</v>
      </c>
      <c r="B6" t="str">
        <f t="shared" ca="1" si="6"/>
        <v>NO</v>
      </c>
      <c r="C6" t="str">
        <f t="shared" ca="1" si="0"/>
        <v>NO</v>
      </c>
      <c r="D6" t="str">
        <f t="shared" ca="1" si="0"/>
        <v>NO</v>
      </c>
      <c r="E6" t="str">
        <f t="shared" ca="1" si="0"/>
        <v>NO</v>
      </c>
      <c r="F6" t="str">
        <f t="shared" ca="1" si="0"/>
        <v>NO</v>
      </c>
      <c r="H6" s="1196" t="str">
        <f t="shared" si="7"/>
        <v/>
      </c>
      <c r="K6" t="str">
        <f ca="1"/>
        <v>Programmi informatici e servizi per le tecnologie dell’informazione e della comunicazione</v>
      </c>
      <c r="Q6" t="str">
        <f t="shared" si="8"/>
        <v>NO</v>
      </c>
      <c r="R6" t="str">
        <f t="shared" si="1"/>
        <v>NO</v>
      </c>
      <c r="S6" t="str">
        <f t="shared" si="1"/>
        <v>NO</v>
      </c>
      <c r="T6" t="str">
        <f t="shared" si="1"/>
        <v>NO</v>
      </c>
      <c r="U6" t="str">
        <f t="shared" si="1"/>
        <v>NO</v>
      </c>
      <c r="V6" t="str">
        <f t="shared" si="1"/>
        <v/>
      </c>
      <c r="W6" t="str">
        <f t="shared" si="9"/>
        <v/>
      </c>
      <c r="X6" s="1196" t="str">
        <f t="shared" si="10"/>
        <v/>
      </c>
      <c r="AG6" t="str">
        <f t="shared" si="11"/>
        <v>NO</v>
      </c>
      <c r="AH6" t="str">
        <f t="shared" si="3"/>
        <v>NO</v>
      </c>
      <c r="AI6" t="str">
        <f t="shared" si="3"/>
        <v>NO</v>
      </c>
      <c r="AJ6" t="str">
        <f t="shared" si="3"/>
        <v>NO</v>
      </c>
      <c r="AK6" t="str">
        <f t="shared" si="3"/>
        <v>NO</v>
      </c>
      <c r="AL6" t="str">
        <f t="shared" si="3"/>
        <v/>
      </c>
      <c r="AN6" s="1196" t="str">
        <f t="shared" si="12"/>
        <v/>
      </c>
      <c r="AW6" t="str">
        <f t="shared" si="13"/>
        <v>NO</v>
      </c>
      <c r="AX6" t="str">
        <f t="shared" si="4"/>
        <v>NO</v>
      </c>
      <c r="AY6" t="str">
        <f t="shared" si="4"/>
        <v>NO</v>
      </c>
      <c r="AZ6" t="str">
        <f t="shared" si="4"/>
        <v>NO</v>
      </c>
      <c r="BA6" t="str">
        <f t="shared" si="4"/>
        <v>NO</v>
      </c>
      <c r="BB6" t="str">
        <f t="shared" si="4"/>
        <v/>
      </c>
      <c r="BD6" s="1196" t="str">
        <f t="shared" si="14"/>
        <v/>
      </c>
      <c r="BQ6" s="1196" t="str">
        <f t="shared" si="15"/>
        <v/>
      </c>
      <c r="BU6" s="1198" t="str">
        <f ca="1"/>
        <v>Programmi informatici e servizi per le tecnologie dell’informazione e della comunicazione</v>
      </c>
      <c r="BV6" s="1198">
        <f ca="1">IFERROR(VLOOKUP(BR6,S$2:AG$1048576,12,FALSE),0)</f>
        <v>0</v>
      </c>
      <c r="BW6" s="1196" t="e">
        <f t="shared" ca="1" si="16"/>
        <v>#REF!</v>
      </c>
      <c r="BX6" s="1196" t="e">
        <f t="shared" ca="1" si="17"/>
        <v>#REF!</v>
      </c>
      <c r="BY6" s="1196" t="e">
        <f t="shared" ca="1" si="18"/>
        <v>#REF!</v>
      </c>
      <c r="BZ6" s="1196" t="e">
        <f t="shared" ca="1" si="19"/>
        <v>#REF!</v>
      </c>
      <c r="CA6" s="1196" t="e">
        <f t="shared" ca="1" si="20"/>
        <v>#REF!</v>
      </c>
      <c r="CB6" s="1196" t="e">
        <f t="shared" ca="1" si="21"/>
        <v>#REF!</v>
      </c>
      <c r="CE6" t="str">
        <f>+IF(Anagrafica!$G$2="Capo II","Programmi informatici e servizi per le tecnologie dell’informazione e della comunicazione","Macchinari, impianti ed attrezzature")</f>
        <v>Macchinari, impianti ed attrezzature</v>
      </c>
      <c r="CF6" t="e">
        <f ca="1">SUM(BX:BX)</f>
        <v>#REF!</v>
      </c>
      <c r="CG6" s="1215">
        <f>+'1 SAL'!T112</f>
        <v>0</v>
      </c>
      <c r="CH6" s="1213" t="e">
        <f ca="1">+(CF6*Anagrafica!$F$38-CI6)</f>
        <v>#REF!</v>
      </c>
      <c r="CI6" s="1213" t="e">
        <f ca="1">IF(Anagrafica!$G$2="Capo II",(CF6/'Calcolo contributo CAPO II'!$C$23)*Anagrafica!$C$37,CF6/(GBER!$C$11+GBER!$C$13)*Anagrafica!$C$37)</f>
        <v>#REF!</v>
      </c>
      <c r="CM6" t="s">
        <v>2333</v>
      </c>
      <c r="CN6" s="779">
        <f ca="1">+IFERROR(+IF(Anagrafica!$G$2="Capo II",+'4 SAL VNQ TAB'!$O$11,'4 SAL VNQ TAB'!$O$9),0)</f>
        <v>0</v>
      </c>
      <c r="CO6" s="779">
        <f ca="1">+IFERROR(+IF(Anagrafica!$G$2="Capo II",+'4 SAL VNQ TAB'!$N$11,'4 SAL VNQ TAB'!$N$9),0)</f>
        <v>0</v>
      </c>
      <c r="CT6" t="s">
        <v>2333</v>
      </c>
      <c r="CU6" s="264">
        <f ca="1">+'4 SAL VNQ'!BR26</f>
        <v>0</v>
      </c>
      <c r="CV6" s="264">
        <f ca="1">-CU6</f>
        <v>0</v>
      </c>
    </row>
    <row r="7" spans="1:110" x14ac:dyDescent="0.35">
      <c r="A7" t="str">
        <f t="shared" si="6"/>
        <v>NO</v>
      </c>
      <c r="B7" t="str">
        <f t="shared" si="6"/>
        <v>NO</v>
      </c>
      <c r="C7" t="str">
        <f t="shared" si="0"/>
        <v>NO</v>
      </c>
      <c r="D7" t="str">
        <f t="shared" si="0"/>
        <v>NO</v>
      </c>
      <c r="E7" t="str">
        <f t="shared" si="0"/>
        <v>NO</v>
      </c>
      <c r="F7" t="str">
        <f t="shared" si="0"/>
        <v/>
      </c>
      <c r="H7" s="1196" t="str">
        <f t="shared" si="7"/>
        <v/>
      </c>
      <c r="Q7" t="str">
        <f t="shared" si="8"/>
        <v>NO</v>
      </c>
      <c r="R7" t="str">
        <f t="shared" si="1"/>
        <v>NO</v>
      </c>
      <c r="S7" t="str">
        <f t="shared" si="1"/>
        <v>NO</v>
      </c>
      <c r="T7" t="str">
        <f t="shared" si="1"/>
        <v>NO</v>
      </c>
      <c r="U7" t="str">
        <f t="shared" si="1"/>
        <v>NO</v>
      </c>
      <c r="V7" t="str">
        <f t="shared" si="1"/>
        <v/>
      </c>
      <c r="W7" t="str">
        <f t="shared" si="9"/>
        <v/>
      </c>
      <c r="X7" s="1196" t="str">
        <f t="shared" si="10"/>
        <v/>
      </c>
      <c r="AG7" t="str">
        <f t="shared" si="11"/>
        <v>NO</v>
      </c>
      <c r="AH7" t="str">
        <f t="shared" si="3"/>
        <v>NO</v>
      </c>
      <c r="AI7" t="str">
        <f t="shared" si="3"/>
        <v>NO</v>
      </c>
      <c r="AJ7" t="str">
        <f t="shared" si="3"/>
        <v>NO</v>
      </c>
      <c r="AK7" t="str">
        <f t="shared" si="3"/>
        <v>NO</v>
      </c>
      <c r="AL7" t="str">
        <f t="shared" si="3"/>
        <v/>
      </c>
      <c r="AN7" s="1196" t="str">
        <f t="shared" si="12"/>
        <v/>
      </c>
      <c r="AW7" t="str">
        <f t="shared" si="13"/>
        <v>NO</v>
      </c>
      <c r="AX7" t="str">
        <f t="shared" si="4"/>
        <v>NO</v>
      </c>
      <c r="AY7" t="str">
        <f t="shared" si="4"/>
        <v>NO</v>
      </c>
      <c r="AZ7" t="str">
        <f t="shared" si="4"/>
        <v>NO</v>
      </c>
      <c r="BA7" t="str">
        <f t="shared" si="4"/>
        <v>NO</v>
      </c>
      <c r="BB7" t="str">
        <f t="shared" si="4"/>
        <v/>
      </c>
      <c r="BD7" s="1196" t="str">
        <f t="shared" si="14"/>
        <v/>
      </c>
      <c r="BQ7" s="1196" t="str">
        <f t="shared" si="15"/>
        <v/>
      </c>
      <c r="BU7" s="1198"/>
      <c r="BV7" s="1198">
        <f ca="1">IFERROR(VLOOKUP(BR7,S$2:AG$1048576,12,FALSE),0)</f>
        <v>0</v>
      </c>
      <c r="BW7" s="1196" t="e">
        <f t="shared" ca="1" si="16"/>
        <v>#REF!</v>
      </c>
      <c r="BX7" s="1196" t="e">
        <f t="shared" ca="1" si="17"/>
        <v>#REF!</v>
      </c>
      <c r="BY7" s="1196" t="e">
        <f t="shared" ca="1" si="18"/>
        <v>#REF!</v>
      </c>
      <c r="BZ7" s="1196" t="e">
        <f t="shared" ca="1" si="19"/>
        <v>#REF!</v>
      </c>
      <c r="CA7" s="1196" t="e">
        <f t="shared" ca="1" si="20"/>
        <v>#REF!</v>
      </c>
      <c r="CB7" s="1196" t="e">
        <f t="shared" ca="1" si="21"/>
        <v>#REF!</v>
      </c>
      <c r="CE7" t="str">
        <f>+IF(Anagrafica!$G$2="Capo II","Acquisto di brevetti o acquisizione di relative licenze d’uso","Programmi informatici, brevetti, licenze e marchi")</f>
        <v>Programmi informatici, brevetti, licenze e marchi</v>
      </c>
      <c r="CF7" t="e">
        <f ca="1">SUM(BY:BY)</f>
        <v>#REF!</v>
      </c>
      <c r="CG7" s="1215">
        <f>+'1 SAL'!T113</f>
        <v>0</v>
      </c>
      <c r="CH7" s="1213" t="e">
        <f ca="1">+(CF7*Anagrafica!$F$38-CI7)</f>
        <v>#REF!</v>
      </c>
      <c r="CI7" s="1213" t="e">
        <f ca="1">IF(Anagrafica!$G$2="Capo II",(CF7/'Calcolo contributo CAPO II'!$C$23)*Anagrafica!$C$37,CF7/(GBER!$C$11+GBER!$C$13)*Anagrafica!$C$37)</f>
        <v>#REF!</v>
      </c>
    </row>
    <row r="8" spans="1:110" x14ac:dyDescent="0.35">
      <c r="A8" t="str">
        <f t="shared" si="6"/>
        <v>NO</v>
      </c>
      <c r="B8" t="str">
        <f t="shared" si="6"/>
        <v>NO</v>
      </c>
      <c r="C8" t="str">
        <f t="shared" si="0"/>
        <v>NO</v>
      </c>
      <c r="D8" t="str">
        <f t="shared" si="0"/>
        <v>NO</v>
      </c>
      <c r="E8" t="str">
        <f t="shared" si="0"/>
        <v>NO</v>
      </c>
      <c r="F8" t="str">
        <f t="shared" si="0"/>
        <v/>
      </c>
      <c r="H8" s="1196" t="str">
        <f t="shared" si="7"/>
        <v/>
      </c>
      <c r="Q8" t="str">
        <f t="shared" si="8"/>
        <v>NO</v>
      </c>
      <c r="R8" t="str">
        <f t="shared" si="1"/>
        <v>NO</v>
      </c>
      <c r="S8" t="str">
        <f t="shared" si="1"/>
        <v>NO</v>
      </c>
      <c r="T8" t="str">
        <f t="shared" si="1"/>
        <v>NO</v>
      </c>
      <c r="U8" t="str">
        <f t="shared" si="1"/>
        <v>NO</v>
      </c>
      <c r="V8" t="str">
        <f t="shared" si="1"/>
        <v/>
      </c>
      <c r="W8" t="str">
        <f t="shared" si="9"/>
        <v/>
      </c>
      <c r="X8" s="1196" t="str">
        <f t="shared" si="10"/>
        <v/>
      </c>
      <c r="AG8" t="str">
        <f t="shared" si="11"/>
        <v>NO</v>
      </c>
      <c r="AH8" t="str">
        <f t="shared" si="3"/>
        <v>NO</v>
      </c>
      <c r="AI8" t="str">
        <f t="shared" si="3"/>
        <v>NO</v>
      </c>
      <c r="AJ8" t="str">
        <f t="shared" si="3"/>
        <v>NO</v>
      </c>
      <c r="AK8" t="str">
        <f t="shared" si="3"/>
        <v>NO</v>
      </c>
      <c r="AL8" t="str">
        <f t="shared" si="3"/>
        <v/>
      </c>
      <c r="AN8" s="1196" t="str">
        <f t="shared" si="12"/>
        <v/>
      </c>
      <c r="AW8" t="str">
        <f t="shared" si="13"/>
        <v>NO</v>
      </c>
      <c r="AX8" t="str">
        <f t="shared" si="4"/>
        <v>NO</v>
      </c>
      <c r="AY8" t="str">
        <f t="shared" si="4"/>
        <v>NO</v>
      </c>
      <c r="AZ8" t="str">
        <f t="shared" si="4"/>
        <v>NO</v>
      </c>
      <c r="BA8" t="str">
        <f t="shared" si="4"/>
        <v>NO</v>
      </c>
      <c r="BB8" t="str">
        <f t="shared" si="4"/>
        <v/>
      </c>
      <c r="BD8" s="1196" t="str">
        <f t="shared" si="14"/>
        <v/>
      </c>
      <c r="BQ8" s="1196" t="str">
        <f t="shared" si="15"/>
        <v/>
      </c>
      <c r="BU8" s="1198"/>
      <c r="BV8" s="1198">
        <f ca="1">IFERROR(VLOOKUP(BR8,S$2:AG$1048576,12,FALSE),0)</f>
        <v>0</v>
      </c>
      <c r="BW8" s="1196" t="e">
        <f t="shared" ca="1" si="16"/>
        <v>#REF!</v>
      </c>
      <c r="BX8" s="1196" t="e">
        <f t="shared" ca="1" si="17"/>
        <v>#REF!</v>
      </c>
      <c r="BY8" s="1196" t="e">
        <f t="shared" ca="1" si="18"/>
        <v>#REF!</v>
      </c>
      <c r="BZ8" s="1196" t="e">
        <f t="shared" ca="1" si="19"/>
        <v>#REF!</v>
      </c>
      <c r="CA8" s="1196" t="e">
        <f t="shared" ca="1" si="20"/>
        <v>#REF!</v>
      </c>
      <c r="CB8" s="1196" t="e">
        <f t="shared" ca="1" si="21"/>
        <v>#REF!</v>
      </c>
      <c r="CE8" t="str">
        <f>+IF(Anagrafica!$G$2="Capo II","Consulenze specialistiche","TOTALE PROGRAMMA DI SPESA")</f>
        <v>TOTALE PROGRAMMA DI SPESA</v>
      </c>
      <c r="CF8" t="e">
        <f ca="1">SUM(BZ:BZ)</f>
        <v>#REF!</v>
      </c>
      <c r="CG8" s="1215">
        <f>+'1 SAL'!T114</f>
        <v>0</v>
      </c>
      <c r="CH8" s="1213" t="str">
        <f ca="1">+IFERROR(+CF8*Anagrafica!W38,"")</f>
        <v/>
      </c>
      <c r="CI8" s="1213">
        <v>0</v>
      </c>
    </row>
    <row r="9" spans="1:110" x14ac:dyDescent="0.35">
      <c r="A9" t="str">
        <f t="shared" si="6"/>
        <v>NO</v>
      </c>
      <c r="B9" t="str">
        <f t="shared" si="6"/>
        <v>NO</v>
      </c>
      <c r="C9" t="str">
        <f t="shared" si="0"/>
        <v>NO</v>
      </c>
      <c r="D9" t="str">
        <f t="shared" si="0"/>
        <v>NO</v>
      </c>
      <c r="E9" t="str">
        <f t="shared" si="0"/>
        <v>NO</v>
      </c>
      <c r="F9" t="str">
        <f t="shared" si="0"/>
        <v/>
      </c>
      <c r="H9" s="1196" t="str">
        <f t="shared" si="7"/>
        <v/>
      </c>
      <c r="Q9" t="str">
        <f t="shared" si="8"/>
        <v>NO</v>
      </c>
      <c r="R9" t="str">
        <f t="shared" si="1"/>
        <v>NO</v>
      </c>
      <c r="S9" t="str">
        <f t="shared" si="1"/>
        <v>NO</v>
      </c>
      <c r="T9" t="str">
        <f t="shared" si="1"/>
        <v>NO</v>
      </c>
      <c r="U9" t="str">
        <f t="shared" si="1"/>
        <v>NO</v>
      </c>
      <c r="V9" t="str">
        <f t="shared" si="1"/>
        <v/>
      </c>
      <c r="W9" t="str">
        <f t="shared" si="9"/>
        <v/>
      </c>
      <c r="X9" s="1196" t="str">
        <f t="shared" si="10"/>
        <v/>
      </c>
      <c r="AG9" t="str">
        <f t="shared" si="11"/>
        <v>NO</v>
      </c>
      <c r="AH9" t="str">
        <f t="shared" si="3"/>
        <v>NO</v>
      </c>
      <c r="AI9" t="str">
        <f t="shared" si="3"/>
        <v>NO</v>
      </c>
      <c r="AJ9" t="str">
        <f t="shared" si="3"/>
        <v>NO</v>
      </c>
      <c r="AK9" t="str">
        <f t="shared" si="3"/>
        <v>NO</v>
      </c>
      <c r="AL9" t="str">
        <f t="shared" si="3"/>
        <v/>
      </c>
      <c r="AN9" s="1196" t="str">
        <f t="shared" si="12"/>
        <v/>
      </c>
      <c r="AW9" t="str">
        <f t="shared" si="13"/>
        <v>NO</v>
      </c>
      <c r="AX9" t="str">
        <f t="shared" si="4"/>
        <v>NO</v>
      </c>
      <c r="AY9" t="str">
        <f t="shared" si="4"/>
        <v>NO</v>
      </c>
      <c r="AZ9" t="str">
        <f t="shared" si="4"/>
        <v>NO</v>
      </c>
      <c r="BA9" t="str">
        <f t="shared" si="4"/>
        <v>NO</v>
      </c>
      <c r="BB9" t="str">
        <f t="shared" si="4"/>
        <v/>
      </c>
      <c r="BD9" s="1196" t="str">
        <f t="shared" si="14"/>
        <v/>
      </c>
      <c r="BQ9" s="1196" t="str">
        <f t="shared" si="15"/>
        <v/>
      </c>
      <c r="BU9" s="1198"/>
      <c r="BV9" s="1198">
        <f ca="1">IFERROR(VLOOKUP(BR9,S$2:AG$1048576,12,FALSE),0)</f>
        <v>0</v>
      </c>
      <c r="BW9" s="1196" t="e">
        <f t="shared" ca="1" si="16"/>
        <v>#REF!</v>
      </c>
      <c r="BX9" s="1196" t="e">
        <f t="shared" ca="1" si="17"/>
        <v>#REF!</v>
      </c>
      <c r="BY9" s="1196" t="e">
        <f t="shared" ca="1" si="18"/>
        <v>#REF!</v>
      </c>
      <c r="BZ9" s="1196" t="e">
        <f t="shared" ca="1" si="19"/>
        <v>#REF!</v>
      </c>
      <c r="CA9" s="1196" t="e">
        <f t="shared" ca="1" si="20"/>
        <v>#REF!</v>
      </c>
      <c r="CB9" s="1196" t="e">
        <f t="shared" ca="1" si="21"/>
        <v>#REF!</v>
      </c>
      <c r="CE9" t="str">
        <f>+IF(Anagrafica!$G$2="Capo II","Oneri notarili connessi alla stipula del contratto di finanziamento ed oneri connessi alla costituzione della società","")</f>
        <v/>
      </c>
      <c r="CF9" t="e">
        <f ca="1">SUM(CA:CA)</f>
        <v>#REF!</v>
      </c>
      <c r="CG9" s="1215">
        <f>+'1 SAL'!T115</f>
        <v>0</v>
      </c>
      <c r="CH9" s="1213" t="str">
        <f ca="1">+IFERROR(+CF9*Anagrafica!W39,"")</f>
        <v/>
      </c>
      <c r="CI9" s="1213">
        <v>0</v>
      </c>
      <c r="DB9" s="264"/>
      <c r="DC9" s="264"/>
    </row>
    <row r="10" spans="1:110" x14ac:dyDescent="0.35">
      <c r="A10" t="str">
        <f t="shared" si="6"/>
        <v>NO</v>
      </c>
      <c r="B10" t="str">
        <f t="shared" si="6"/>
        <v>NO</v>
      </c>
      <c r="C10" t="str">
        <f t="shared" si="0"/>
        <v>NO</v>
      </c>
      <c r="D10" t="str">
        <f t="shared" si="0"/>
        <v>NO</v>
      </c>
      <c r="E10" t="str">
        <f t="shared" si="0"/>
        <v>NO</v>
      </c>
      <c r="F10" t="str">
        <f t="shared" si="0"/>
        <v/>
      </c>
      <c r="H10" s="1196" t="str">
        <f t="shared" si="7"/>
        <v/>
      </c>
      <c r="Q10" t="str">
        <f t="shared" si="8"/>
        <v>NO</v>
      </c>
      <c r="R10" t="str">
        <f t="shared" si="1"/>
        <v>NO</v>
      </c>
      <c r="S10" t="str">
        <f t="shared" si="1"/>
        <v>NO</v>
      </c>
      <c r="T10" t="str">
        <f t="shared" si="1"/>
        <v>NO</v>
      </c>
      <c r="U10" t="str">
        <f t="shared" si="1"/>
        <v>NO</v>
      </c>
      <c r="V10" t="str">
        <f t="shared" si="1"/>
        <v/>
      </c>
      <c r="W10" t="str">
        <f t="shared" si="9"/>
        <v/>
      </c>
      <c r="X10" s="1196" t="str">
        <f t="shared" si="10"/>
        <v/>
      </c>
      <c r="AG10" t="str">
        <f t="shared" si="11"/>
        <v>NO</v>
      </c>
      <c r="AH10" t="str">
        <f t="shared" si="3"/>
        <v>NO</v>
      </c>
      <c r="AI10" t="str">
        <f t="shared" si="3"/>
        <v>NO</v>
      </c>
      <c r="AJ10" t="str">
        <f t="shared" si="3"/>
        <v>NO</v>
      </c>
      <c r="AK10" t="str">
        <f t="shared" si="3"/>
        <v>NO</v>
      </c>
      <c r="AL10" t="str">
        <f t="shared" si="3"/>
        <v/>
      </c>
      <c r="AN10" s="1196" t="str">
        <f t="shared" si="12"/>
        <v/>
      </c>
      <c r="AW10" t="str">
        <f t="shared" si="13"/>
        <v>NO</v>
      </c>
      <c r="AX10" t="str">
        <f t="shared" si="4"/>
        <v>NO</v>
      </c>
      <c r="AY10" t="str">
        <f t="shared" si="4"/>
        <v>NO</v>
      </c>
      <c r="AZ10" t="str">
        <f t="shared" si="4"/>
        <v>NO</v>
      </c>
      <c r="BA10" t="str">
        <f t="shared" si="4"/>
        <v>NO</v>
      </c>
      <c r="BB10" t="str">
        <f t="shared" si="4"/>
        <v/>
      </c>
      <c r="BD10" s="1196" t="str">
        <f t="shared" si="14"/>
        <v/>
      </c>
      <c r="BQ10" s="1196" t="str">
        <f t="shared" si="15"/>
        <v/>
      </c>
      <c r="BU10" s="1198"/>
      <c r="BV10" s="1198">
        <f ca="1">IFERROR(VLOOKUP(BR10,S$2:AG$1048576,12,FALSE),0)</f>
        <v>0</v>
      </c>
      <c r="BW10" s="1196" t="e">
        <f t="shared" ca="1" si="16"/>
        <v>#REF!</v>
      </c>
      <c r="BX10" s="1196" t="e">
        <f t="shared" ca="1" si="17"/>
        <v>#REF!</v>
      </c>
      <c r="BY10" s="1196" t="e">
        <f t="shared" ca="1" si="18"/>
        <v>#REF!</v>
      </c>
      <c r="BZ10" s="1196" t="e">
        <f t="shared" ca="1" si="19"/>
        <v>#REF!</v>
      </c>
      <c r="CA10" s="1196" t="e">
        <f t="shared" ca="1" si="20"/>
        <v>#REF!</v>
      </c>
      <c r="CB10" s="1196" t="e">
        <f t="shared" ca="1" si="21"/>
        <v>#REF!</v>
      </c>
      <c r="CE10" t="str">
        <f>+IF(Anagrafica!$G$2="Capo II","TOTALE INVESTIMENTO","")</f>
        <v/>
      </c>
      <c r="CF10">
        <f ca="1">+SUMIF(BS:BT,CE10,BS:BS)</f>
        <v>0</v>
      </c>
      <c r="CG10" s="1215">
        <f>+'1 SAL'!T116</f>
        <v>0</v>
      </c>
      <c r="CH10" s="596">
        <f>+'1 SAL'!AO115</f>
        <v>0</v>
      </c>
      <c r="CI10" s="596">
        <v>0</v>
      </c>
    </row>
    <row r="11" spans="1:110" x14ac:dyDescent="0.35">
      <c r="A11" t="str">
        <f t="shared" si="6"/>
        <v>NO</v>
      </c>
      <c r="B11" t="str">
        <f t="shared" si="6"/>
        <v>NO</v>
      </c>
      <c r="C11" t="str">
        <f t="shared" si="0"/>
        <v>NO</v>
      </c>
      <c r="D11" t="str">
        <f t="shared" si="0"/>
        <v>NO</v>
      </c>
      <c r="E11" t="str">
        <f t="shared" si="0"/>
        <v>NO</v>
      </c>
      <c r="F11" t="str">
        <f t="shared" si="0"/>
        <v/>
      </c>
      <c r="H11" s="1196" t="str">
        <f t="shared" si="7"/>
        <v/>
      </c>
      <c r="Q11" t="str">
        <f t="shared" si="8"/>
        <v>NO</v>
      </c>
      <c r="R11" t="str">
        <f t="shared" si="1"/>
        <v>NO</v>
      </c>
      <c r="S11" t="str">
        <f t="shared" si="1"/>
        <v>NO</v>
      </c>
      <c r="T11" t="str">
        <f t="shared" si="1"/>
        <v>NO</v>
      </c>
      <c r="U11" t="str">
        <f t="shared" si="1"/>
        <v>NO</v>
      </c>
      <c r="V11" t="str">
        <f t="shared" si="1"/>
        <v/>
      </c>
      <c r="W11" t="str">
        <f t="shared" si="9"/>
        <v/>
      </c>
      <c r="X11" s="1196" t="str">
        <f t="shared" si="10"/>
        <v/>
      </c>
      <c r="AG11" t="str">
        <f t="shared" si="11"/>
        <v>NO</v>
      </c>
      <c r="AH11" t="str">
        <f t="shared" si="3"/>
        <v>NO</v>
      </c>
      <c r="AI11" t="str">
        <f t="shared" si="3"/>
        <v>NO</v>
      </c>
      <c r="AJ11" t="str">
        <f t="shared" si="3"/>
        <v>NO</v>
      </c>
      <c r="AK11" t="str">
        <f t="shared" si="3"/>
        <v>NO</v>
      </c>
      <c r="AL11" t="str">
        <f t="shared" si="3"/>
        <v/>
      </c>
      <c r="AN11" s="1196" t="str">
        <f t="shared" si="12"/>
        <v/>
      </c>
      <c r="AW11" t="str">
        <f t="shared" si="13"/>
        <v>NO</v>
      </c>
      <c r="AX11" t="str">
        <f t="shared" si="4"/>
        <v>NO</v>
      </c>
      <c r="AY11" t="str">
        <f t="shared" si="4"/>
        <v>NO</v>
      </c>
      <c r="AZ11" t="str">
        <f t="shared" si="4"/>
        <v>NO</v>
      </c>
      <c r="BA11" t="str">
        <f t="shared" si="4"/>
        <v>NO</v>
      </c>
      <c r="BB11" t="str">
        <f t="shared" si="4"/>
        <v/>
      </c>
      <c r="BD11" s="1196" t="str">
        <f t="shared" si="14"/>
        <v/>
      </c>
      <c r="BQ11" s="1196" t="str">
        <f t="shared" si="15"/>
        <v/>
      </c>
      <c r="BU11" s="1198"/>
      <c r="BV11" s="1198"/>
      <c r="BW11" s="1196" t="e">
        <f t="shared" ca="1" si="16"/>
        <v>#REF!</v>
      </c>
      <c r="BX11" s="1196" t="e">
        <f t="shared" ca="1" si="17"/>
        <v>#REF!</v>
      </c>
      <c r="BY11" s="1196" t="e">
        <f t="shared" ca="1" si="18"/>
        <v>#REF!</v>
      </c>
      <c r="BZ11" s="1196" t="e">
        <f t="shared" ca="1" si="19"/>
        <v>#REF!</v>
      </c>
      <c r="CA11" s="1196" t="e">
        <f t="shared" ca="1" si="20"/>
        <v>#REF!</v>
      </c>
      <c r="CB11" s="1196" t="e">
        <f t="shared" ca="1" si="21"/>
        <v>#REF!</v>
      </c>
      <c r="CE11" t="str">
        <f>+IF(Anagrafica!$G$2="Capo II","Capitale circolante","")</f>
        <v/>
      </c>
      <c r="CF11">
        <f ca="1">+SUMIF(BS:BT,CE11,BS:BS)</f>
        <v>0</v>
      </c>
      <c r="CG11" s="1215">
        <f>+'1 SAL'!T117</f>
        <v>0</v>
      </c>
      <c r="CH11" s="596">
        <f>+'1 SAL'!AO116</f>
        <v>0</v>
      </c>
      <c r="CI11" s="596">
        <v>0</v>
      </c>
    </row>
    <row r="12" spans="1:110" x14ac:dyDescent="0.35">
      <c r="A12" t="str">
        <f t="shared" si="6"/>
        <v>NO</v>
      </c>
      <c r="B12" t="str">
        <f t="shared" si="6"/>
        <v>NO</v>
      </c>
      <c r="C12" t="str">
        <f t="shared" si="0"/>
        <v>NO</v>
      </c>
      <c r="D12" t="str">
        <f t="shared" si="0"/>
        <v>NO</v>
      </c>
      <c r="E12" t="str">
        <f t="shared" si="0"/>
        <v>NO</v>
      </c>
      <c r="F12" t="str">
        <f t="shared" si="0"/>
        <v/>
      </c>
      <c r="H12" s="1196" t="str">
        <f t="shared" si="7"/>
        <v/>
      </c>
      <c r="Q12" t="str">
        <f t="shared" si="8"/>
        <v>NO</v>
      </c>
      <c r="R12" t="str">
        <f t="shared" si="1"/>
        <v>NO</v>
      </c>
      <c r="S12" t="str">
        <f t="shared" si="1"/>
        <v>NO</v>
      </c>
      <c r="T12" t="str">
        <f t="shared" si="1"/>
        <v>NO</v>
      </c>
      <c r="U12" t="str">
        <f t="shared" si="1"/>
        <v>NO</v>
      </c>
      <c r="V12" t="str">
        <f t="shared" si="1"/>
        <v/>
      </c>
      <c r="W12" t="str">
        <f t="shared" si="9"/>
        <v/>
      </c>
      <c r="X12" s="1196" t="str">
        <f t="shared" si="10"/>
        <v/>
      </c>
      <c r="AG12" t="str">
        <f t="shared" si="11"/>
        <v>NO</v>
      </c>
      <c r="AH12" t="str">
        <f t="shared" si="3"/>
        <v>NO</v>
      </c>
      <c r="AI12" t="str">
        <f t="shared" si="3"/>
        <v>NO</v>
      </c>
      <c r="AJ12" t="str">
        <f t="shared" si="3"/>
        <v>NO</v>
      </c>
      <c r="AK12" t="str">
        <f t="shared" si="3"/>
        <v>NO</v>
      </c>
      <c r="AL12" t="str">
        <f t="shared" si="3"/>
        <v/>
      </c>
      <c r="AN12" s="1196" t="str">
        <f t="shared" si="12"/>
        <v/>
      </c>
      <c r="AW12" t="str">
        <f t="shared" si="13"/>
        <v>NO</v>
      </c>
      <c r="AX12" t="str">
        <f t="shared" si="4"/>
        <v>NO</v>
      </c>
      <c r="AY12" t="str">
        <f t="shared" si="4"/>
        <v>NO</v>
      </c>
      <c r="AZ12" t="str">
        <f t="shared" si="4"/>
        <v>NO</v>
      </c>
      <c r="BA12" t="str">
        <f t="shared" si="4"/>
        <v>NO</v>
      </c>
      <c r="BB12" t="str">
        <f t="shared" si="4"/>
        <v/>
      </c>
      <c r="BD12" s="1196" t="str">
        <f t="shared" si="14"/>
        <v/>
      </c>
      <c r="BQ12" s="1196" t="str">
        <f t="shared" si="15"/>
        <v/>
      </c>
      <c r="BU12" s="1198"/>
      <c r="BV12" s="1198"/>
      <c r="BW12" s="1196" t="e">
        <f t="shared" ca="1" si="16"/>
        <v>#REF!</v>
      </c>
      <c r="BX12" s="1196" t="e">
        <f t="shared" ca="1" si="17"/>
        <v>#REF!</v>
      </c>
      <c r="BY12" s="1196" t="e">
        <f t="shared" ca="1" si="18"/>
        <v>#REF!</v>
      </c>
      <c r="BZ12" s="1196" t="e">
        <f t="shared" ca="1" si="19"/>
        <v>#REF!</v>
      </c>
      <c r="CA12" s="1196" t="e">
        <f t="shared" ca="1" si="20"/>
        <v>#REF!</v>
      </c>
      <c r="CB12" s="1196" t="e">
        <f t="shared" ca="1" si="21"/>
        <v>#REF!</v>
      </c>
      <c r="CE12">
        <f>+'1 SAL'!AM117</f>
        <v>0</v>
      </c>
      <c r="CF12">
        <f ca="1">+SUMIF(BS:BT,CE12,BS:BS)</f>
        <v>0</v>
      </c>
      <c r="CG12" s="1215">
        <f>+'1 SAL'!T118</f>
        <v>0</v>
      </c>
      <c r="CH12" s="596">
        <f>+'1 SAL'!AO117</f>
        <v>0</v>
      </c>
      <c r="CI12" s="596">
        <v>0</v>
      </c>
    </row>
    <row r="13" spans="1:110" x14ac:dyDescent="0.35">
      <c r="A13" t="str">
        <f t="shared" si="6"/>
        <v>NO</v>
      </c>
      <c r="B13" t="str">
        <f t="shared" si="6"/>
        <v>NO</v>
      </c>
      <c r="C13" t="str">
        <f t="shared" si="0"/>
        <v>NO</v>
      </c>
      <c r="D13" t="str">
        <f t="shared" si="0"/>
        <v>NO</v>
      </c>
      <c r="E13" t="str">
        <f t="shared" si="0"/>
        <v>NO</v>
      </c>
      <c r="F13" t="str">
        <f t="shared" si="0"/>
        <v/>
      </c>
      <c r="H13" s="1196" t="str">
        <f t="shared" si="7"/>
        <v/>
      </c>
      <c r="Q13" t="str">
        <f t="shared" si="8"/>
        <v>NO</v>
      </c>
      <c r="R13" t="str">
        <f t="shared" si="1"/>
        <v>NO</v>
      </c>
      <c r="S13" t="str">
        <f t="shared" si="1"/>
        <v>NO</v>
      </c>
      <c r="T13" t="str">
        <f t="shared" si="1"/>
        <v>NO</v>
      </c>
      <c r="U13" t="str">
        <f t="shared" si="1"/>
        <v>NO</v>
      </c>
      <c r="V13" t="str">
        <f t="shared" si="1"/>
        <v/>
      </c>
      <c r="W13" t="str">
        <f t="shared" si="9"/>
        <v/>
      </c>
      <c r="X13" s="1196" t="str">
        <f t="shared" si="10"/>
        <v/>
      </c>
      <c r="AG13" t="str">
        <f t="shared" si="11"/>
        <v>NO</v>
      </c>
      <c r="AH13" t="str">
        <f t="shared" si="3"/>
        <v>NO</v>
      </c>
      <c r="AI13" t="str">
        <f t="shared" si="3"/>
        <v>NO</v>
      </c>
      <c r="AJ13" t="str">
        <f t="shared" si="3"/>
        <v>NO</v>
      </c>
      <c r="AK13" t="str">
        <f t="shared" si="3"/>
        <v>NO</v>
      </c>
      <c r="AL13" t="str">
        <f t="shared" si="3"/>
        <v/>
      </c>
      <c r="AN13" s="1196" t="str">
        <f t="shared" si="12"/>
        <v/>
      </c>
      <c r="AW13" t="str">
        <f t="shared" si="13"/>
        <v>NO</v>
      </c>
      <c r="AX13" t="str">
        <f t="shared" si="4"/>
        <v>NO</v>
      </c>
      <c r="AY13" t="str">
        <f t="shared" si="4"/>
        <v>NO</v>
      </c>
      <c r="AZ13" t="str">
        <f t="shared" si="4"/>
        <v>NO</v>
      </c>
      <c r="BA13" t="str">
        <f t="shared" si="4"/>
        <v>NO</v>
      </c>
      <c r="BB13" t="str">
        <f t="shared" si="4"/>
        <v/>
      </c>
      <c r="BD13" s="1196" t="str">
        <f t="shared" si="14"/>
        <v/>
      </c>
      <c r="BQ13" s="1196" t="str">
        <f t="shared" si="15"/>
        <v/>
      </c>
      <c r="BU13" s="1198"/>
      <c r="BV13" s="1198"/>
      <c r="BW13" s="1196" t="e">
        <f t="shared" ca="1" si="16"/>
        <v>#REF!</v>
      </c>
      <c r="BX13" s="1196" t="e">
        <f t="shared" ca="1" si="17"/>
        <v>#REF!</v>
      </c>
      <c r="BY13" s="1196" t="e">
        <f t="shared" ca="1" si="18"/>
        <v>#REF!</v>
      </c>
      <c r="BZ13" s="1196" t="e">
        <f t="shared" ca="1" si="19"/>
        <v>#REF!</v>
      </c>
      <c r="CA13" s="1196" t="e">
        <f t="shared" ca="1" si="20"/>
        <v>#REF!</v>
      </c>
      <c r="CB13" s="1196" t="e">
        <f t="shared" ca="1" si="21"/>
        <v>#REF!</v>
      </c>
    </row>
    <row r="14" spans="1:110" x14ac:dyDescent="0.35">
      <c r="A14" t="str">
        <f t="shared" si="6"/>
        <v>NO</v>
      </c>
      <c r="B14" t="str">
        <f t="shared" si="6"/>
        <v>NO</v>
      </c>
      <c r="C14" t="str">
        <f t="shared" si="0"/>
        <v>NO</v>
      </c>
      <c r="D14" t="str">
        <f t="shared" si="0"/>
        <v>NO</v>
      </c>
      <c r="E14" t="str">
        <f t="shared" si="0"/>
        <v>NO</v>
      </c>
      <c r="F14" t="str">
        <f t="shared" si="0"/>
        <v/>
      </c>
      <c r="H14" s="1196" t="str">
        <f t="shared" si="7"/>
        <v/>
      </c>
      <c r="Q14" t="str">
        <f t="shared" si="8"/>
        <v>NO</v>
      </c>
      <c r="R14" t="str">
        <f t="shared" si="1"/>
        <v>NO</v>
      </c>
      <c r="S14" t="str">
        <f t="shared" si="1"/>
        <v>NO</v>
      </c>
      <c r="T14" t="str">
        <f t="shared" si="1"/>
        <v>NO</v>
      </c>
      <c r="U14" t="str">
        <f t="shared" si="1"/>
        <v>NO</v>
      </c>
      <c r="V14" t="str">
        <f t="shared" si="1"/>
        <v/>
      </c>
      <c r="W14" t="str">
        <f t="shared" si="9"/>
        <v/>
      </c>
      <c r="X14" s="1196" t="str">
        <f t="shared" si="10"/>
        <v/>
      </c>
      <c r="AG14" t="str">
        <f t="shared" si="11"/>
        <v>NO</v>
      </c>
      <c r="AH14" t="str">
        <f t="shared" si="3"/>
        <v>NO</v>
      </c>
      <c r="AI14" t="str">
        <f t="shared" si="3"/>
        <v>NO</v>
      </c>
      <c r="AJ14" t="str">
        <f t="shared" si="3"/>
        <v>NO</v>
      </c>
      <c r="AK14" t="str">
        <f t="shared" si="3"/>
        <v>NO</v>
      </c>
      <c r="AL14" t="str">
        <f t="shared" si="3"/>
        <v/>
      </c>
      <c r="AN14" s="1196" t="str">
        <f t="shared" si="12"/>
        <v/>
      </c>
      <c r="AW14" t="str">
        <f t="shared" si="13"/>
        <v>NO</v>
      </c>
      <c r="AX14" t="str">
        <f t="shared" si="4"/>
        <v>NO</v>
      </c>
      <c r="AY14" t="str">
        <f t="shared" si="4"/>
        <v>NO</v>
      </c>
      <c r="AZ14" t="str">
        <f t="shared" si="4"/>
        <v>NO</v>
      </c>
      <c r="BA14" t="str">
        <f t="shared" si="4"/>
        <v>NO</v>
      </c>
      <c r="BB14" t="str">
        <f t="shared" si="4"/>
        <v/>
      </c>
      <c r="BD14" s="1196" t="str">
        <f t="shared" si="14"/>
        <v/>
      </c>
      <c r="BQ14" s="1196" t="str">
        <f t="shared" si="15"/>
        <v/>
      </c>
      <c r="BU14" s="1198"/>
      <c r="BV14" s="1198"/>
      <c r="BW14" s="1196" t="e">
        <f t="shared" ca="1" si="16"/>
        <v>#REF!</v>
      </c>
      <c r="BX14" s="1196" t="e">
        <f t="shared" ca="1" si="17"/>
        <v>#REF!</v>
      </c>
      <c r="BY14" s="1196" t="e">
        <f t="shared" ca="1" si="18"/>
        <v>#REF!</v>
      </c>
      <c r="BZ14" s="1196" t="e">
        <f t="shared" ca="1" si="19"/>
        <v>#REF!</v>
      </c>
      <c r="CA14" s="1196" t="e">
        <f t="shared" ca="1" si="20"/>
        <v>#REF!</v>
      </c>
      <c r="CB14" s="1196" t="e">
        <f t="shared" ca="1" si="21"/>
        <v>#REF!</v>
      </c>
      <c r="CG14" t="s">
        <v>2291</v>
      </c>
      <c r="CH14" s="316" t="e">
        <f ca="1">+SUM(CH4:CH12)</f>
        <v>#REF!</v>
      </c>
      <c r="CI14" s="316" t="e">
        <f ca="1">+SUM(CI4:CI12)</f>
        <v>#REF!</v>
      </c>
      <c r="CN14" s="264"/>
      <c r="CO14" s="264"/>
    </row>
    <row r="15" spans="1:110" ht="18" customHeight="1" x14ac:dyDescent="0.35">
      <c r="A15" t="str">
        <f t="shared" si="6"/>
        <v>NO</v>
      </c>
      <c r="B15" t="str">
        <f t="shared" si="6"/>
        <v>NO</v>
      </c>
      <c r="C15" t="str">
        <f t="shared" si="0"/>
        <v>NO</v>
      </c>
      <c r="D15" t="str">
        <f t="shared" si="0"/>
        <v>NO</v>
      </c>
      <c r="E15" t="str">
        <f t="shared" si="0"/>
        <v>NO</v>
      </c>
      <c r="F15" t="str">
        <f t="shared" si="0"/>
        <v/>
      </c>
      <c r="H15" s="1196" t="str">
        <f t="shared" si="7"/>
        <v/>
      </c>
      <c r="Q15" t="str">
        <f t="shared" si="8"/>
        <v>NO</v>
      </c>
      <c r="R15" t="str">
        <f t="shared" si="1"/>
        <v>NO</v>
      </c>
      <c r="S15" t="str">
        <f t="shared" si="1"/>
        <v>NO</v>
      </c>
      <c r="T15" t="str">
        <f t="shared" si="1"/>
        <v>NO</v>
      </c>
      <c r="U15" t="str">
        <f t="shared" si="1"/>
        <v>NO</v>
      </c>
      <c r="V15" t="str">
        <f t="shared" si="1"/>
        <v/>
      </c>
      <c r="W15" t="str">
        <f t="shared" si="9"/>
        <v/>
      </c>
      <c r="X15" s="1196" t="str">
        <f t="shared" si="10"/>
        <v/>
      </c>
      <c r="AG15" t="str">
        <f t="shared" si="11"/>
        <v>NO</v>
      </c>
      <c r="AH15" t="str">
        <f t="shared" si="3"/>
        <v>NO</v>
      </c>
      <c r="AI15" t="str">
        <f t="shared" si="3"/>
        <v>NO</v>
      </c>
      <c r="AJ15" t="str">
        <f t="shared" si="3"/>
        <v>NO</v>
      </c>
      <c r="AK15" t="str">
        <f t="shared" si="3"/>
        <v>NO</v>
      </c>
      <c r="AL15" t="str">
        <f t="shared" si="3"/>
        <v/>
      </c>
      <c r="AN15" s="1196" t="str">
        <f t="shared" si="12"/>
        <v/>
      </c>
      <c r="AW15" t="str">
        <f t="shared" si="13"/>
        <v>NO</v>
      </c>
      <c r="AX15" t="str">
        <f t="shared" si="4"/>
        <v>NO</v>
      </c>
      <c r="AY15" t="str">
        <f t="shared" si="4"/>
        <v>NO</v>
      </c>
      <c r="AZ15" t="str">
        <f t="shared" si="4"/>
        <v>NO</v>
      </c>
      <c r="BA15" t="str">
        <f t="shared" si="4"/>
        <v>NO</v>
      </c>
      <c r="BB15" t="str">
        <f t="shared" si="4"/>
        <v/>
      </c>
      <c r="BD15" s="1196" t="str">
        <f t="shared" si="14"/>
        <v/>
      </c>
      <c r="BQ15" s="1196" t="str">
        <f t="shared" si="15"/>
        <v/>
      </c>
      <c r="BU15" s="1198"/>
      <c r="BV15" s="1198"/>
      <c r="BW15" s="1196" t="e">
        <f t="shared" ca="1" si="16"/>
        <v>#REF!</v>
      </c>
      <c r="BX15" s="1196" t="e">
        <f t="shared" ca="1" si="17"/>
        <v>#REF!</v>
      </c>
      <c r="BY15" s="1196" t="e">
        <f t="shared" ca="1" si="18"/>
        <v>#REF!</v>
      </c>
      <c r="BZ15" s="1196" t="e">
        <f t="shared" ca="1" si="19"/>
        <v>#REF!</v>
      </c>
      <c r="CA15" s="1196" t="e">
        <f t="shared" ca="1" si="20"/>
        <v>#REF!</v>
      </c>
      <c r="CB15" s="1196" t="e">
        <f t="shared" ca="1" si="21"/>
        <v>#REF!</v>
      </c>
      <c r="CF15" t="s">
        <v>2292</v>
      </c>
      <c r="CH15" s="1212" t="str">
        <f ca="1">+CQ3</f>
        <v>MUTUO</v>
      </c>
      <c r="CI15" s="264" t="str">
        <f ca="1">+CR3</f>
        <v>FP</v>
      </c>
    </row>
    <row r="16" spans="1:110" x14ac:dyDescent="0.35">
      <c r="A16" t="str">
        <f t="shared" si="6"/>
        <v>NO</v>
      </c>
      <c r="B16" t="str">
        <f t="shared" si="6"/>
        <v>NO</v>
      </c>
      <c r="C16" t="str">
        <f t="shared" si="0"/>
        <v>NO</v>
      </c>
      <c r="D16" t="str">
        <f t="shared" si="0"/>
        <v>NO</v>
      </c>
      <c r="E16" t="str">
        <f t="shared" si="0"/>
        <v>NO</v>
      </c>
      <c r="F16" t="str">
        <f t="shared" si="0"/>
        <v/>
      </c>
      <c r="H16" s="1196" t="str">
        <f t="shared" si="7"/>
        <v/>
      </c>
      <c r="Q16" t="str">
        <f t="shared" si="8"/>
        <v>NO</v>
      </c>
      <c r="R16" t="str">
        <f t="shared" si="1"/>
        <v>NO</v>
      </c>
      <c r="S16" t="str">
        <f t="shared" si="1"/>
        <v>NO</v>
      </c>
      <c r="T16" t="str">
        <f t="shared" si="1"/>
        <v>NO</v>
      </c>
      <c r="U16" t="str">
        <f t="shared" si="1"/>
        <v>NO</v>
      </c>
      <c r="V16" t="str">
        <f t="shared" si="1"/>
        <v/>
      </c>
      <c r="W16" t="str">
        <f t="shared" si="9"/>
        <v/>
      </c>
      <c r="X16" s="1196" t="str">
        <f t="shared" si="10"/>
        <v/>
      </c>
      <c r="AG16" t="str">
        <f t="shared" si="11"/>
        <v>NO</v>
      </c>
      <c r="AH16" t="str">
        <f t="shared" si="3"/>
        <v>NO</v>
      </c>
      <c r="AI16" t="str">
        <f t="shared" si="3"/>
        <v>NO</v>
      </c>
      <c r="AJ16" t="str">
        <f t="shared" si="3"/>
        <v>NO</v>
      </c>
      <c r="AK16" t="str">
        <f t="shared" si="3"/>
        <v>NO</v>
      </c>
      <c r="AL16" t="str">
        <f t="shared" si="3"/>
        <v/>
      </c>
      <c r="AN16" s="1196" t="str">
        <f t="shared" si="12"/>
        <v/>
      </c>
      <c r="AW16" t="str">
        <f t="shared" si="13"/>
        <v>NO</v>
      </c>
      <c r="AX16" t="str">
        <f t="shared" si="4"/>
        <v>NO</v>
      </c>
      <c r="AY16" t="str">
        <f t="shared" si="4"/>
        <v>NO</v>
      </c>
      <c r="AZ16" t="str">
        <f t="shared" si="4"/>
        <v>NO</v>
      </c>
      <c r="BA16" t="str">
        <f t="shared" si="4"/>
        <v>NO</v>
      </c>
      <c r="BB16" t="str">
        <f t="shared" si="4"/>
        <v/>
      </c>
      <c r="BD16" s="1196" t="str">
        <f t="shared" si="14"/>
        <v/>
      </c>
      <c r="BQ16" s="1196" t="str">
        <f t="shared" si="15"/>
        <v/>
      </c>
      <c r="BU16" s="1198"/>
      <c r="BV16" s="1198"/>
      <c r="BW16" s="1196" t="e">
        <f t="shared" ca="1" si="16"/>
        <v>#REF!</v>
      </c>
      <c r="BX16" s="1196" t="e">
        <f t="shared" ca="1" si="17"/>
        <v>#REF!</v>
      </c>
      <c r="BY16" s="1196" t="e">
        <f t="shared" ca="1" si="18"/>
        <v>#REF!</v>
      </c>
      <c r="BZ16" s="1196" t="e">
        <f t="shared" ca="1" si="19"/>
        <v>#REF!</v>
      </c>
      <c r="CA16" s="1196" t="e">
        <f t="shared" ca="1" si="20"/>
        <v>#REF!</v>
      </c>
      <c r="CB16" s="1196" t="e">
        <f t="shared" ca="1" si="21"/>
        <v>#REF!</v>
      </c>
      <c r="CN16" s="264"/>
      <c r="CO16" s="264"/>
    </row>
    <row r="17" spans="1:89" x14ac:dyDescent="0.35">
      <c r="A17" t="str">
        <f t="shared" si="6"/>
        <v>NO</v>
      </c>
      <c r="B17" t="str">
        <f t="shared" si="6"/>
        <v>NO</v>
      </c>
      <c r="C17" t="str">
        <f t="shared" si="0"/>
        <v>NO</v>
      </c>
      <c r="D17" t="str">
        <f t="shared" si="0"/>
        <v>NO</v>
      </c>
      <c r="E17" t="str">
        <f t="shared" si="0"/>
        <v>NO</v>
      </c>
      <c r="F17" t="str">
        <f t="shared" si="0"/>
        <v/>
      </c>
      <c r="H17" s="1196" t="str">
        <f t="shared" si="7"/>
        <v/>
      </c>
      <c r="Q17" t="str">
        <f t="shared" si="8"/>
        <v>NO</v>
      </c>
      <c r="R17" t="str">
        <f t="shared" si="1"/>
        <v>NO</v>
      </c>
      <c r="S17" t="str">
        <f t="shared" si="1"/>
        <v>NO</v>
      </c>
      <c r="T17" t="str">
        <f t="shared" si="1"/>
        <v>NO</v>
      </c>
      <c r="U17" t="str">
        <f t="shared" si="1"/>
        <v>NO</v>
      </c>
      <c r="V17" t="str">
        <f t="shared" si="1"/>
        <v/>
      </c>
      <c r="W17" t="str">
        <f t="shared" si="9"/>
        <v/>
      </c>
      <c r="X17" s="1196" t="str">
        <f t="shared" si="10"/>
        <v/>
      </c>
      <c r="AG17" t="str">
        <f t="shared" si="11"/>
        <v>NO</v>
      </c>
      <c r="AH17" t="str">
        <f t="shared" si="3"/>
        <v>NO</v>
      </c>
      <c r="AI17" t="str">
        <f t="shared" si="3"/>
        <v>NO</v>
      </c>
      <c r="AJ17" t="str">
        <f t="shared" si="3"/>
        <v>NO</v>
      </c>
      <c r="AK17" t="str">
        <f t="shared" si="3"/>
        <v>NO</v>
      </c>
      <c r="AL17" t="str">
        <f t="shared" si="3"/>
        <v/>
      </c>
      <c r="AN17" s="1196" t="str">
        <f t="shared" si="12"/>
        <v/>
      </c>
      <c r="AW17" t="str">
        <f t="shared" si="13"/>
        <v>NO</v>
      </c>
      <c r="AX17" t="str">
        <f t="shared" si="4"/>
        <v>NO</v>
      </c>
      <c r="AY17" t="str">
        <f t="shared" si="4"/>
        <v>NO</v>
      </c>
      <c r="AZ17" t="str">
        <f t="shared" si="4"/>
        <v>NO</v>
      </c>
      <c r="BA17" t="str">
        <f t="shared" si="4"/>
        <v>NO</v>
      </c>
      <c r="BB17" t="str">
        <f t="shared" si="4"/>
        <v/>
      </c>
      <c r="BD17" s="1196" t="str">
        <f t="shared" si="14"/>
        <v/>
      </c>
      <c r="BQ17" s="1196" t="str">
        <f t="shared" si="15"/>
        <v/>
      </c>
      <c r="BU17" s="1198"/>
      <c r="BV17" s="1198"/>
      <c r="BW17" s="1196" t="e">
        <f t="shared" ca="1" si="16"/>
        <v>#REF!</v>
      </c>
      <c r="BX17" s="1196" t="e">
        <f t="shared" ca="1" si="17"/>
        <v>#REF!</v>
      </c>
      <c r="BY17" s="1196" t="e">
        <f t="shared" ca="1" si="18"/>
        <v>#REF!</v>
      </c>
      <c r="BZ17" s="1196" t="e">
        <f t="shared" ca="1" si="19"/>
        <v>#REF!</v>
      </c>
      <c r="CA17" s="1196" t="e">
        <f t="shared" ca="1" si="20"/>
        <v>#REF!</v>
      </c>
      <c r="CB17" s="1196" t="e">
        <f t="shared" ca="1" si="21"/>
        <v>#REF!</v>
      </c>
      <c r="CG17" t="s">
        <v>2334</v>
      </c>
      <c r="CH17" s="264" t="e">
        <f ca="1">+CH15-CH14</f>
        <v>#VALUE!</v>
      </c>
      <c r="CI17" s="264" t="e">
        <f ca="1">+CI15-CI14</f>
        <v>#VALUE!</v>
      </c>
    </row>
    <row r="18" spans="1:89" x14ac:dyDescent="0.35">
      <c r="A18" t="str">
        <f t="shared" si="6"/>
        <v>NO</v>
      </c>
      <c r="B18" t="str">
        <f t="shared" si="6"/>
        <v>NO</v>
      </c>
      <c r="C18" t="str">
        <f t="shared" si="0"/>
        <v>NO</v>
      </c>
      <c r="D18" t="str">
        <f t="shared" si="0"/>
        <v>NO</v>
      </c>
      <c r="E18" t="str">
        <f t="shared" si="0"/>
        <v>NO</v>
      </c>
      <c r="F18" t="str">
        <f t="shared" si="0"/>
        <v/>
      </c>
      <c r="H18" s="1196" t="str">
        <f t="shared" si="7"/>
        <v/>
      </c>
      <c r="Q18" t="str">
        <f t="shared" si="8"/>
        <v>NO</v>
      </c>
      <c r="R18" t="str">
        <f t="shared" si="1"/>
        <v>NO</v>
      </c>
      <c r="S18" t="str">
        <f t="shared" si="1"/>
        <v>NO</v>
      </c>
      <c r="T18" t="str">
        <f t="shared" si="1"/>
        <v>NO</v>
      </c>
      <c r="U18" t="str">
        <f t="shared" si="1"/>
        <v>NO</v>
      </c>
      <c r="V18" t="str">
        <f t="shared" si="1"/>
        <v/>
      </c>
      <c r="W18" t="str">
        <f t="shared" si="9"/>
        <v/>
      </c>
      <c r="X18" s="1196" t="str">
        <f t="shared" si="10"/>
        <v/>
      </c>
      <c r="AG18" t="str">
        <f t="shared" si="11"/>
        <v>NO</v>
      </c>
      <c r="AH18" t="str">
        <f t="shared" si="3"/>
        <v>NO</v>
      </c>
      <c r="AI18" t="str">
        <f t="shared" si="3"/>
        <v>NO</v>
      </c>
      <c r="AJ18" t="str">
        <f t="shared" si="3"/>
        <v>NO</v>
      </c>
      <c r="AK18" t="str">
        <f t="shared" si="3"/>
        <v>NO</v>
      </c>
      <c r="AL18" t="str">
        <f t="shared" si="3"/>
        <v/>
      </c>
      <c r="AN18" s="1196" t="str">
        <f t="shared" si="12"/>
        <v/>
      </c>
      <c r="AW18" t="str">
        <f t="shared" si="13"/>
        <v>NO</v>
      </c>
      <c r="AX18" t="str">
        <f t="shared" si="4"/>
        <v>NO</v>
      </c>
      <c r="AY18" t="str">
        <f t="shared" si="4"/>
        <v>NO</v>
      </c>
      <c r="AZ18" t="str">
        <f t="shared" si="4"/>
        <v>NO</v>
      </c>
      <c r="BA18" t="str">
        <f t="shared" si="4"/>
        <v>NO</v>
      </c>
      <c r="BB18" t="str">
        <f t="shared" si="4"/>
        <v/>
      </c>
      <c r="BD18" s="1196" t="str">
        <f t="shared" si="14"/>
        <v/>
      </c>
      <c r="BQ18" s="1196" t="str">
        <f t="shared" si="15"/>
        <v/>
      </c>
      <c r="BU18" s="1198"/>
      <c r="BV18" s="1198"/>
      <c r="BW18" s="1196" t="e">
        <f t="shared" ca="1" si="16"/>
        <v>#REF!</v>
      </c>
      <c r="BX18" s="1196" t="e">
        <f t="shared" ca="1" si="17"/>
        <v>#REF!</v>
      </c>
      <c r="BY18" s="1196" t="e">
        <f t="shared" ca="1" si="18"/>
        <v>#REF!</v>
      </c>
      <c r="BZ18" s="1196" t="e">
        <f t="shared" ca="1" si="19"/>
        <v>#REF!</v>
      </c>
      <c r="CA18" s="1196" t="e">
        <f t="shared" ca="1" si="20"/>
        <v>#REF!</v>
      </c>
      <c r="CB18" s="1196" t="e">
        <f t="shared" ca="1" si="21"/>
        <v>#REF!</v>
      </c>
    </row>
    <row r="19" spans="1:89" x14ac:dyDescent="0.35">
      <c r="A19" t="str">
        <f t="shared" si="6"/>
        <v>NO</v>
      </c>
      <c r="B19" t="str">
        <f t="shared" si="6"/>
        <v>NO</v>
      </c>
      <c r="C19" t="str">
        <f t="shared" si="6"/>
        <v>NO</v>
      </c>
      <c r="D19" t="str">
        <f t="shared" si="6"/>
        <v>NO</v>
      </c>
      <c r="E19" t="str">
        <f t="shared" si="6"/>
        <v>NO</v>
      </c>
      <c r="F19" t="str">
        <f t="shared" si="6"/>
        <v/>
      </c>
      <c r="H19" s="1196" t="str">
        <f t="shared" si="7"/>
        <v/>
      </c>
      <c r="Q19" t="str">
        <f t="shared" si="8"/>
        <v>NO</v>
      </c>
      <c r="R19" t="str">
        <f t="shared" si="8"/>
        <v>NO</v>
      </c>
      <c r="S19" t="str">
        <f t="shared" si="8"/>
        <v>NO</v>
      </c>
      <c r="T19" t="str">
        <f t="shared" si="8"/>
        <v>NO</v>
      </c>
      <c r="U19" t="str">
        <f t="shared" si="8"/>
        <v>NO</v>
      </c>
      <c r="V19" t="str">
        <f t="shared" si="8"/>
        <v/>
      </c>
      <c r="W19" t="str">
        <f t="shared" si="9"/>
        <v/>
      </c>
      <c r="X19" s="1196" t="str">
        <f t="shared" si="10"/>
        <v/>
      </c>
      <c r="AG19" t="str">
        <f t="shared" si="11"/>
        <v>NO</v>
      </c>
      <c r="AH19" t="str">
        <f t="shared" si="11"/>
        <v>NO</v>
      </c>
      <c r="AI19" t="str">
        <f t="shared" si="11"/>
        <v>NO</v>
      </c>
      <c r="AJ19" t="str">
        <f t="shared" si="11"/>
        <v>NO</v>
      </c>
      <c r="AK19" t="str">
        <f t="shared" si="11"/>
        <v>NO</v>
      </c>
      <c r="AL19" t="str">
        <f t="shared" si="11"/>
        <v/>
      </c>
      <c r="AN19" s="1196" t="str">
        <f t="shared" si="12"/>
        <v/>
      </c>
      <c r="AW19" t="str">
        <f t="shared" si="13"/>
        <v>NO</v>
      </c>
      <c r="AX19" t="str">
        <f t="shared" si="13"/>
        <v>NO</v>
      </c>
      <c r="AY19" t="str">
        <f t="shared" si="13"/>
        <v>NO</v>
      </c>
      <c r="AZ19" t="str">
        <f t="shared" si="13"/>
        <v>NO</v>
      </c>
      <c r="BA19" t="str">
        <f t="shared" si="13"/>
        <v>NO</v>
      </c>
      <c r="BB19" t="str">
        <f t="shared" si="13"/>
        <v/>
      </c>
      <c r="BD19" s="1196" t="str">
        <f t="shared" si="14"/>
        <v/>
      </c>
      <c r="BQ19" s="1196" t="str">
        <f t="shared" si="15"/>
        <v/>
      </c>
      <c r="BU19" s="1198"/>
      <c r="BV19" s="1198"/>
      <c r="BW19" s="1196" t="e">
        <f t="shared" ca="1" si="16"/>
        <v>#REF!</v>
      </c>
      <c r="BX19" s="1196" t="e">
        <f t="shared" ca="1" si="17"/>
        <v>#REF!</v>
      </c>
      <c r="BY19" s="1196" t="e">
        <f t="shared" ca="1" si="18"/>
        <v>#REF!</v>
      </c>
      <c r="BZ19" s="1196" t="e">
        <f t="shared" ca="1" si="19"/>
        <v>#REF!</v>
      </c>
      <c r="CA19" s="1196" t="e">
        <f t="shared" ca="1" si="20"/>
        <v>#REF!</v>
      </c>
      <c r="CB19" s="1196" t="e">
        <f t="shared" ca="1" si="21"/>
        <v>#REF!</v>
      </c>
      <c r="CG19" t="s">
        <v>2335</v>
      </c>
      <c r="CH19" s="264" t="e">
        <f ca="1">+CH17-CX3</f>
        <v>#VALUE!</v>
      </c>
      <c r="CI19" s="264" t="e">
        <f ca="1">+CI17-CY3</f>
        <v>#VALUE!</v>
      </c>
    </row>
    <row r="20" spans="1:89" x14ac:dyDescent="0.35">
      <c r="A20" t="str">
        <f t="shared" si="6"/>
        <v>NO</v>
      </c>
      <c r="B20" t="str">
        <f t="shared" si="6"/>
        <v>NO</v>
      </c>
      <c r="C20" t="str">
        <f t="shared" si="6"/>
        <v>NO</v>
      </c>
      <c r="D20" t="str">
        <f t="shared" si="6"/>
        <v>NO</v>
      </c>
      <c r="E20" t="str">
        <f t="shared" si="6"/>
        <v>NO</v>
      </c>
      <c r="F20" t="str">
        <f t="shared" si="6"/>
        <v/>
      </c>
      <c r="H20" s="1196" t="str">
        <f t="shared" si="7"/>
        <v/>
      </c>
      <c r="Q20" t="str">
        <f t="shared" si="8"/>
        <v>NO</v>
      </c>
      <c r="R20" t="str">
        <f t="shared" si="8"/>
        <v>NO</v>
      </c>
      <c r="S20" t="str">
        <f t="shared" si="8"/>
        <v>NO</v>
      </c>
      <c r="T20" t="str">
        <f t="shared" si="8"/>
        <v>NO</v>
      </c>
      <c r="U20" t="str">
        <f t="shared" si="8"/>
        <v>NO</v>
      </c>
      <c r="V20" t="str">
        <f t="shared" si="8"/>
        <v/>
      </c>
      <c r="W20" t="str">
        <f t="shared" si="9"/>
        <v/>
      </c>
      <c r="X20" s="1196" t="str">
        <f t="shared" si="10"/>
        <v/>
      </c>
      <c r="AG20" t="str">
        <f t="shared" si="11"/>
        <v>NO</v>
      </c>
      <c r="AH20" t="str">
        <f t="shared" si="11"/>
        <v>NO</v>
      </c>
      <c r="AI20" t="str">
        <f t="shared" si="11"/>
        <v>NO</v>
      </c>
      <c r="AJ20" t="str">
        <f t="shared" si="11"/>
        <v>NO</v>
      </c>
      <c r="AK20" t="str">
        <f t="shared" si="11"/>
        <v>NO</v>
      </c>
      <c r="AL20" t="str">
        <f t="shared" si="11"/>
        <v/>
      </c>
      <c r="AN20" s="1196" t="str">
        <f t="shared" si="12"/>
        <v/>
      </c>
      <c r="AW20" t="str">
        <f t="shared" si="13"/>
        <v>NO</v>
      </c>
      <c r="AX20" t="str">
        <f t="shared" si="13"/>
        <v>NO</v>
      </c>
      <c r="AY20" t="str">
        <f t="shared" si="13"/>
        <v>NO</v>
      </c>
      <c r="AZ20" t="str">
        <f t="shared" si="13"/>
        <v>NO</v>
      </c>
      <c r="BA20" t="str">
        <f t="shared" si="13"/>
        <v>NO</v>
      </c>
      <c r="BB20" t="str">
        <f t="shared" si="13"/>
        <v/>
      </c>
      <c r="BD20" s="1196" t="str">
        <f t="shared" si="14"/>
        <v/>
      </c>
      <c r="BQ20" s="1196" t="str">
        <f t="shared" si="15"/>
        <v/>
      </c>
    </row>
    <row r="21" spans="1:89" x14ac:dyDescent="0.35">
      <c r="A21" t="str">
        <f t="shared" si="6"/>
        <v>NO</v>
      </c>
      <c r="B21" t="str">
        <f t="shared" si="6"/>
        <v>NO</v>
      </c>
      <c r="C21" t="str">
        <f t="shared" si="6"/>
        <v>NO</v>
      </c>
      <c r="D21" t="str">
        <f t="shared" si="6"/>
        <v>NO</v>
      </c>
      <c r="E21" t="str">
        <f t="shared" si="6"/>
        <v>NO</v>
      </c>
      <c r="F21" t="str">
        <f t="shared" si="6"/>
        <v/>
      </c>
      <c r="H21" s="1196" t="str">
        <f t="shared" si="7"/>
        <v/>
      </c>
      <c r="Q21" t="str">
        <f t="shared" si="8"/>
        <v>NO</v>
      </c>
      <c r="R21" t="str">
        <f t="shared" si="8"/>
        <v>NO</v>
      </c>
      <c r="S21" t="str">
        <f t="shared" si="8"/>
        <v>NO</v>
      </c>
      <c r="T21" t="str">
        <f t="shared" si="8"/>
        <v>NO</v>
      </c>
      <c r="U21" t="str">
        <f t="shared" si="8"/>
        <v>NO</v>
      </c>
      <c r="V21" t="str">
        <f t="shared" si="8"/>
        <v/>
      </c>
      <c r="W21" t="str">
        <f t="shared" si="9"/>
        <v/>
      </c>
      <c r="X21" s="1196" t="str">
        <f t="shared" si="10"/>
        <v/>
      </c>
      <c r="AG21" t="str">
        <f t="shared" si="11"/>
        <v>NO</v>
      </c>
      <c r="AH21" t="str">
        <f t="shared" si="11"/>
        <v>NO</v>
      </c>
      <c r="AI21" t="str">
        <f t="shared" si="11"/>
        <v>NO</v>
      </c>
      <c r="AJ21" t="str">
        <f t="shared" si="11"/>
        <v>NO</v>
      </c>
      <c r="AK21" t="str">
        <f t="shared" si="11"/>
        <v>NO</v>
      </c>
      <c r="AL21" t="str">
        <f t="shared" si="11"/>
        <v/>
      </c>
      <c r="AN21" s="1196" t="str">
        <f t="shared" si="12"/>
        <v/>
      </c>
      <c r="AW21" t="str">
        <f t="shared" si="13"/>
        <v>NO</v>
      </c>
      <c r="AX21" t="str">
        <f t="shared" si="13"/>
        <v>NO</v>
      </c>
      <c r="AY21" t="str">
        <f t="shared" si="13"/>
        <v>NO</v>
      </c>
      <c r="AZ21" t="str">
        <f t="shared" si="13"/>
        <v>NO</v>
      </c>
      <c r="BA21" t="str">
        <f t="shared" si="13"/>
        <v>NO</v>
      </c>
      <c r="BB21" t="str">
        <f t="shared" si="13"/>
        <v/>
      </c>
      <c r="BD21" s="1196" t="str">
        <f t="shared" si="14"/>
        <v/>
      </c>
      <c r="BQ21" s="1196" t="str">
        <f t="shared" si="15"/>
        <v/>
      </c>
      <c r="CH21" t="s">
        <v>2248</v>
      </c>
      <c r="CI21" t="s">
        <v>2249</v>
      </c>
    </row>
    <row r="22" spans="1:89" x14ac:dyDescent="0.35">
      <c r="A22" t="str">
        <f t="shared" si="6"/>
        <v>NO</v>
      </c>
      <c r="B22" t="str">
        <f t="shared" si="6"/>
        <v>NO</v>
      </c>
      <c r="C22" t="str">
        <f t="shared" si="6"/>
        <v>NO</v>
      </c>
      <c r="D22" t="str">
        <f t="shared" si="6"/>
        <v>NO</v>
      </c>
      <c r="E22" t="str">
        <f t="shared" si="6"/>
        <v>NO</v>
      </c>
      <c r="F22" t="str">
        <f t="shared" si="6"/>
        <v/>
      </c>
      <c r="H22" s="1196" t="str">
        <f t="shared" si="7"/>
        <v/>
      </c>
      <c r="Q22" t="str">
        <f t="shared" si="8"/>
        <v>NO</v>
      </c>
      <c r="R22" t="str">
        <f t="shared" si="8"/>
        <v>NO</v>
      </c>
      <c r="S22" t="str">
        <f t="shared" si="8"/>
        <v>NO</v>
      </c>
      <c r="T22" t="str">
        <f t="shared" si="8"/>
        <v>NO</v>
      </c>
      <c r="U22" t="str">
        <f t="shared" si="8"/>
        <v>NO</v>
      </c>
      <c r="V22" t="str">
        <f t="shared" si="8"/>
        <v/>
      </c>
      <c r="W22" t="str">
        <f t="shared" si="9"/>
        <v/>
      </c>
      <c r="X22" s="1196" t="str">
        <f t="shared" si="10"/>
        <v/>
      </c>
      <c r="AG22" t="str">
        <f t="shared" si="11"/>
        <v>NO</v>
      </c>
      <c r="AH22" t="str">
        <f t="shared" si="11"/>
        <v>NO</v>
      </c>
      <c r="AI22" t="str">
        <f t="shared" si="11"/>
        <v>NO</v>
      </c>
      <c r="AJ22" t="str">
        <f t="shared" si="11"/>
        <v>NO</v>
      </c>
      <c r="AK22" t="str">
        <f t="shared" si="11"/>
        <v>NO</v>
      </c>
      <c r="AL22" t="str">
        <f t="shared" si="11"/>
        <v/>
      </c>
      <c r="AN22" s="1196" t="str">
        <f t="shared" si="12"/>
        <v/>
      </c>
      <c r="AW22" t="str">
        <f t="shared" si="13"/>
        <v>NO</v>
      </c>
      <c r="AX22" t="str">
        <f t="shared" si="13"/>
        <v>NO</v>
      </c>
      <c r="AY22" t="str">
        <f t="shared" si="13"/>
        <v>NO</v>
      </c>
      <c r="AZ22" t="str">
        <f t="shared" si="13"/>
        <v>NO</v>
      </c>
      <c r="BA22" t="str">
        <f t="shared" si="13"/>
        <v>NO</v>
      </c>
      <c r="BB22" t="str">
        <f t="shared" si="13"/>
        <v/>
      </c>
      <c r="BD22" s="1196" t="str">
        <f t="shared" si="14"/>
        <v/>
      </c>
      <c r="BQ22" s="1196" t="str">
        <f t="shared" si="15"/>
        <v/>
      </c>
      <c r="CG22" t="s">
        <v>2336</v>
      </c>
      <c r="CH22" s="264">
        <f ca="1">+IF(Anagrafica!$G$2="Capo II",+'SAL SALDO'!$H$134,+'SAL SALDO'!$H$130)</f>
        <v>0</v>
      </c>
      <c r="CI22" s="264">
        <f ca="1">+IF(Anagrafica!$G$2="Capo II",+'SAL SALDO'!$I$134,+'SAL SALDO'!$I$130)</f>
        <v>0</v>
      </c>
    </row>
    <row r="23" spans="1:89" x14ac:dyDescent="0.35">
      <c r="A23" t="str">
        <f t="shared" si="6"/>
        <v>NO</v>
      </c>
      <c r="B23" t="str">
        <f t="shared" si="6"/>
        <v>NO</v>
      </c>
      <c r="C23" t="str">
        <f t="shared" si="6"/>
        <v>NO</v>
      </c>
      <c r="D23" t="str">
        <f t="shared" si="6"/>
        <v>NO</v>
      </c>
      <c r="E23" t="str">
        <f t="shared" si="6"/>
        <v>NO</v>
      </c>
      <c r="F23" t="str">
        <f t="shared" si="6"/>
        <v/>
      </c>
      <c r="H23" s="1196" t="str">
        <f t="shared" si="7"/>
        <v/>
      </c>
      <c r="Q23" t="str">
        <f t="shared" si="8"/>
        <v>NO</v>
      </c>
      <c r="R23" t="str">
        <f t="shared" si="8"/>
        <v>NO</v>
      </c>
      <c r="S23" t="str">
        <f t="shared" si="8"/>
        <v>NO</v>
      </c>
      <c r="T23" t="str">
        <f t="shared" si="8"/>
        <v>NO</v>
      </c>
      <c r="U23" t="str">
        <f t="shared" si="8"/>
        <v>NO</v>
      </c>
      <c r="V23" t="str">
        <f t="shared" si="8"/>
        <v/>
      </c>
      <c r="W23" t="str">
        <f t="shared" si="9"/>
        <v/>
      </c>
      <c r="X23" s="1196" t="str">
        <f t="shared" si="10"/>
        <v/>
      </c>
      <c r="AG23" t="str">
        <f t="shared" si="11"/>
        <v>NO</v>
      </c>
      <c r="AH23" t="str">
        <f t="shared" si="11"/>
        <v>NO</v>
      </c>
      <c r="AI23" t="str">
        <f t="shared" si="11"/>
        <v>NO</v>
      </c>
      <c r="AJ23" t="str">
        <f t="shared" si="11"/>
        <v>NO</v>
      </c>
      <c r="AK23" t="str">
        <f t="shared" si="11"/>
        <v>NO</v>
      </c>
      <c r="AL23" t="str">
        <f t="shared" si="11"/>
        <v/>
      </c>
      <c r="AN23" s="1196" t="str">
        <f t="shared" si="12"/>
        <v/>
      </c>
      <c r="AW23" t="str">
        <f t="shared" si="13"/>
        <v>NO</v>
      </c>
      <c r="AX23" t="str">
        <f t="shared" si="13"/>
        <v>NO</v>
      </c>
      <c r="AY23" t="str">
        <f t="shared" si="13"/>
        <v>NO</v>
      </c>
      <c r="AZ23" t="str">
        <f t="shared" si="13"/>
        <v>NO</v>
      </c>
      <c r="BA23" t="str">
        <f t="shared" si="13"/>
        <v>NO</v>
      </c>
      <c r="BB23" t="str">
        <f t="shared" si="13"/>
        <v/>
      </c>
      <c r="BD23" s="1196" t="str">
        <f t="shared" si="14"/>
        <v/>
      </c>
      <c r="BQ23" s="1196" t="str">
        <f t="shared" si="15"/>
        <v/>
      </c>
    </row>
    <row r="24" spans="1:89" x14ac:dyDescent="0.35">
      <c r="A24" t="str">
        <f t="shared" si="6"/>
        <v>NO</v>
      </c>
      <c r="B24" t="str">
        <f t="shared" si="6"/>
        <v>NO</v>
      </c>
      <c r="C24" t="str">
        <f t="shared" si="6"/>
        <v>NO</v>
      </c>
      <c r="D24" t="str">
        <f t="shared" si="6"/>
        <v>NO</v>
      </c>
      <c r="E24" t="str">
        <f t="shared" si="6"/>
        <v>NO</v>
      </c>
      <c r="F24" t="str">
        <f t="shared" si="6"/>
        <v/>
      </c>
      <c r="H24" s="1196" t="str">
        <f t="shared" si="7"/>
        <v/>
      </c>
      <c r="Q24" t="str">
        <f t="shared" si="8"/>
        <v>NO</v>
      </c>
      <c r="R24" t="str">
        <f t="shared" si="8"/>
        <v>NO</v>
      </c>
      <c r="S24" t="str">
        <f t="shared" si="8"/>
        <v>NO</v>
      </c>
      <c r="T24" t="str">
        <f t="shared" si="8"/>
        <v>NO</v>
      </c>
      <c r="U24" t="str">
        <f t="shared" si="8"/>
        <v>NO</v>
      </c>
      <c r="V24" t="str">
        <f t="shared" si="8"/>
        <v/>
      </c>
      <c r="W24" t="str">
        <f t="shared" si="9"/>
        <v/>
      </c>
      <c r="X24" s="1196" t="str">
        <f t="shared" si="10"/>
        <v/>
      </c>
      <c r="AG24" t="str">
        <f t="shared" si="11"/>
        <v>NO</v>
      </c>
      <c r="AH24" t="str">
        <f t="shared" si="11"/>
        <v>NO</v>
      </c>
      <c r="AI24" t="str">
        <f t="shared" si="11"/>
        <v>NO</v>
      </c>
      <c r="AJ24" t="str">
        <f t="shared" si="11"/>
        <v>NO</v>
      </c>
      <c r="AK24" t="str">
        <f t="shared" si="11"/>
        <v>NO</v>
      </c>
      <c r="AL24" t="str">
        <f t="shared" si="11"/>
        <v/>
      </c>
      <c r="AN24" s="1196" t="str">
        <f t="shared" si="12"/>
        <v/>
      </c>
      <c r="AW24" t="str">
        <f t="shared" si="13"/>
        <v>NO</v>
      </c>
      <c r="AX24" t="str">
        <f t="shared" si="13"/>
        <v>NO</v>
      </c>
      <c r="AY24" t="str">
        <f t="shared" si="13"/>
        <v>NO</v>
      </c>
      <c r="AZ24" t="str">
        <f t="shared" si="13"/>
        <v>NO</v>
      </c>
      <c r="BA24" t="str">
        <f t="shared" si="13"/>
        <v>NO</v>
      </c>
      <c r="BB24" t="str">
        <f t="shared" si="13"/>
        <v/>
      </c>
      <c r="BD24" s="1196" t="str">
        <f t="shared" si="14"/>
        <v/>
      </c>
      <c r="BQ24" s="1196" t="str">
        <f t="shared" si="15"/>
        <v/>
      </c>
      <c r="CG24" t="s">
        <v>2314</v>
      </c>
      <c r="CH24" s="264" t="e">
        <f ca="1">CH22-((IF(CI19&gt;CI22,(CI19-CI22),0))+CH19)</f>
        <v>#VALUE!</v>
      </c>
      <c r="CI24" s="264" t="e">
        <f ca="1">IF(CI19&gt;CI22,0,CI22-CI19)</f>
        <v>#VALUE!</v>
      </c>
    </row>
    <row r="25" spans="1:89" x14ac:dyDescent="0.35">
      <c r="A25" t="str">
        <f t="shared" si="6"/>
        <v>NO</v>
      </c>
      <c r="B25" t="str">
        <f t="shared" si="6"/>
        <v>NO</v>
      </c>
      <c r="C25" t="str">
        <f t="shared" si="6"/>
        <v>NO</v>
      </c>
      <c r="D25" t="str">
        <f t="shared" si="6"/>
        <v>NO</v>
      </c>
      <c r="E25" t="str">
        <f t="shared" si="6"/>
        <v>NO</v>
      </c>
      <c r="F25" t="str">
        <f t="shared" si="6"/>
        <v/>
      </c>
      <c r="H25" s="1196" t="str">
        <f t="shared" si="7"/>
        <v/>
      </c>
      <c r="Q25" t="str">
        <f t="shared" si="8"/>
        <v>NO</v>
      </c>
      <c r="R25" t="str">
        <f t="shared" si="8"/>
        <v>NO</v>
      </c>
      <c r="S25" t="str">
        <f t="shared" si="8"/>
        <v>NO</v>
      </c>
      <c r="T25" t="str">
        <f t="shared" si="8"/>
        <v>NO</v>
      </c>
      <c r="U25" t="str">
        <f t="shared" si="8"/>
        <v>NO</v>
      </c>
      <c r="V25" t="str">
        <f t="shared" si="8"/>
        <v/>
      </c>
      <c r="W25" t="str">
        <f t="shared" si="9"/>
        <v/>
      </c>
      <c r="X25" s="1196" t="str">
        <f t="shared" si="10"/>
        <v/>
      </c>
      <c r="AG25" t="str">
        <f t="shared" si="11"/>
        <v>NO</v>
      </c>
      <c r="AH25" t="str">
        <f t="shared" si="11"/>
        <v>NO</v>
      </c>
      <c r="AI25" t="str">
        <f t="shared" si="11"/>
        <v>NO</v>
      </c>
      <c r="AJ25" t="str">
        <f t="shared" si="11"/>
        <v>NO</v>
      </c>
      <c r="AK25" t="str">
        <f t="shared" si="11"/>
        <v>NO</v>
      </c>
      <c r="AL25" t="str">
        <f t="shared" si="11"/>
        <v/>
      </c>
      <c r="AN25" s="1196" t="str">
        <f t="shared" si="12"/>
        <v/>
      </c>
      <c r="AW25" t="str">
        <f t="shared" si="13"/>
        <v>NO</v>
      </c>
      <c r="AX25" t="str">
        <f t="shared" si="13"/>
        <v>NO</v>
      </c>
      <c r="AY25" t="str">
        <f t="shared" si="13"/>
        <v>NO</v>
      </c>
      <c r="AZ25" t="str">
        <f t="shared" si="13"/>
        <v>NO</v>
      </c>
      <c r="BA25" t="str">
        <f t="shared" si="13"/>
        <v>NO</v>
      </c>
      <c r="BB25" t="str">
        <f t="shared" si="13"/>
        <v/>
      </c>
      <c r="BD25" s="1196" t="str">
        <f t="shared" si="14"/>
        <v/>
      </c>
      <c r="BQ25" s="1196" t="str">
        <f t="shared" si="15"/>
        <v/>
      </c>
    </row>
    <row r="26" spans="1:89" x14ac:dyDescent="0.35">
      <c r="A26" t="str">
        <f t="shared" si="6"/>
        <v>NO</v>
      </c>
      <c r="B26" t="str">
        <f t="shared" si="6"/>
        <v>NO</v>
      </c>
      <c r="C26" t="str">
        <f t="shared" si="6"/>
        <v>NO</v>
      </c>
      <c r="D26" t="str">
        <f t="shared" si="6"/>
        <v>NO</v>
      </c>
      <c r="E26" t="str">
        <f t="shared" si="6"/>
        <v>NO</v>
      </c>
      <c r="F26" t="str">
        <f t="shared" si="6"/>
        <v/>
      </c>
      <c r="H26" s="1196" t="str">
        <f t="shared" si="7"/>
        <v/>
      </c>
      <c r="Q26" t="str">
        <f t="shared" si="8"/>
        <v>NO</v>
      </c>
      <c r="R26" t="str">
        <f t="shared" si="8"/>
        <v>NO</v>
      </c>
      <c r="S26" t="str">
        <f t="shared" si="8"/>
        <v>NO</v>
      </c>
      <c r="T26" t="str">
        <f t="shared" si="8"/>
        <v>NO</v>
      </c>
      <c r="U26" t="str">
        <f t="shared" si="8"/>
        <v>NO</v>
      </c>
      <c r="V26" t="str">
        <f t="shared" si="8"/>
        <v/>
      </c>
      <c r="W26" t="str">
        <f t="shared" si="9"/>
        <v/>
      </c>
      <c r="X26" s="1196" t="str">
        <f t="shared" si="10"/>
        <v/>
      </c>
      <c r="AG26" t="str">
        <f t="shared" si="11"/>
        <v>NO</v>
      </c>
      <c r="AH26" t="str">
        <f t="shared" si="11"/>
        <v>NO</v>
      </c>
      <c r="AI26" t="str">
        <f t="shared" si="11"/>
        <v>NO</v>
      </c>
      <c r="AJ26" t="str">
        <f t="shared" si="11"/>
        <v>NO</v>
      </c>
      <c r="AK26" t="str">
        <f t="shared" si="11"/>
        <v>NO</v>
      </c>
      <c r="AL26" t="str">
        <f t="shared" si="11"/>
        <v/>
      </c>
      <c r="AN26" s="1196" t="str">
        <f t="shared" si="12"/>
        <v/>
      </c>
      <c r="AW26" t="str">
        <f t="shared" si="13"/>
        <v>NO</v>
      </c>
      <c r="AX26" t="str">
        <f t="shared" si="13"/>
        <v>NO</v>
      </c>
      <c r="AY26" t="str">
        <f t="shared" si="13"/>
        <v>NO</v>
      </c>
      <c r="AZ26" t="str">
        <f t="shared" si="13"/>
        <v>NO</v>
      </c>
      <c r="BA26" t="str">
        <f t="shared" si="13"/>
        <v>NO</v>
      </c>
      <c r="BB26" t="str">
        <f t="shared" si="13"/>
        <v/>
      </c>
      <c r="BD26" s="1196" t="str">
        <f t="shared" si="14"/>
        <v/>
      </c>
      <c r="BQ26" s="1196" t="str">
        <f t="shared" si="15"/>
        <v/>
      </c>
      <c r="CH26" s="264"/>
      <c r="CI26" s="264"/>
    </row>
    <row r="27" spans="1:89" x14ac:dyDescent="0.35">
      <c r="A27" t="str">
        <f t="shared" si="6"/>
        <v>NO</v>
      </c>
      <c r="B27" t="str">
        <f t="shared" si="6"/>
        <v>NO</v>
      </c>
      <c r="C27" t="str">
        <f t="shared" si="6"/>
        <v>NO</v>
      </c>
      <c r="D27" t="str">
        <f t="shared" si="6"/>
        <v>NO</v>
      </c>
      <c r="E27" t="str">
        <f t="shared" si="6"/>
        <v>NO</v>
      </c>
      <c r="F27" t="str">
        <f t="shared" si="6"/>
        <v/>
      </c>
      <c r="H27" s="1196" t="str">
        <f t="shared" si="7"/>
        <v/>
      </c>
      <c r="Q27" t="str">
        <f t="shared" si="8"/>
        <v>NO</v>
      </c>
      <c r="R27" t="str">
        <f t="shared" si="8"/>
        <v>NO</v>
      </c>
      <c r="S27" t="str">
        <f t="shared" si="8"/>
        <v>NO</v>
      </c>
      <c r="T27" t="str">
        <f t="shared" si="8"/>
        <v>NO</v>
      </c>
      <c r="U27" t="str">
        <f t="shared" si="8"/>
        <v>NO</v>
      </c>
      <c r="V27" t="str">
        <f t="shared" si="8"/>
        <v/>
      </c>
      <c r="W27" t="str">
        <f t="shared" si="9"/>
        <v/>
      </c>
      <c r="X27" s="1196" t="str">
        <f t="shared" si="10"/>
        <v/>
      </c>
      <c r="AG27" t="str">
        <f t="shared" si="11"/>
        <v>NO</v>
      </c>
      <c r="AH27" t="str">
        <f t="shared" si="11"/>
        <v>NO</v>
      </c>
      <c r="AI27" t="str">
        <f t="shared" si="11"/>
        <v>NO</v>
      </c>
      <c r="AJ27" t="str">
        <f t="shared" si="11"/>
        <v>NO</v>
      </c>
      <c r="AK27" t="str">
        <f t="shared" si="11"/>
        <v>NO</v>
      </c>
      <c r="AL27" t="str">
        <f t="shared" si="11"/>
        <v/>
      </c>
      <c r="AN27" s="1196" t="str">
        <f t="shared" si="12"/>
        <v/>
      </c>
      <c r="AW27" t="str">
        <f t="shared" si="13"/>
        <v>NO</v>
      </c>
      <c r="AX27" t="str">
        <f t="shared" si="13"/>
        <v>NO</v>
      </c>
      <c r="AY27" t="str">
        <f t="shared" si="13"/>
        <v>NO</v>
      </c>
      <c r="AZ27" t="str">
        <f t="shared" si="13"/>
        <v>NO</v>
      </c>
      <c r="BA27" t="str">
        <f t="shared" si="13"/>
        <v>NO</v>
      </c>
      <c r="BB27" t="str">
        <f t="shared" si="13"/>
        <v/>
      </c>
      <c r="BD27" s="1196" t="str">
        <f t="shared" si="14"/>
        <v/>
      </c>
      <c r="BQ27" s="1196" t="str">
        <f t="shared" si="15"/>
        <v/>
      </c>
    </row>
    <row r="28" spans="1:89" x14ac:dyDescent="0.35">
      <c r="A28" t="str">
        <f t="shared" si="6"/>
        <v>NO</v>
      </c>
      <c r="B28" t="str">
        <f t="shared" si="6"/>
        <v>NO</v>
      </c>
      <c r="C28" t="str">
        <f t="shared" si="6"/>
        <v>NO</v>
      </c>
      <c r="D28" t="str">
        <f t="shared" si="6"/>
        <v>NO</v>
      </c>
      <c r="E28" t="str">
        <f t="shared" si="6"/>
        <v>NO</v>
      </c>
      <c r="F28" t="str">
        <f t="shared" si="6"/>
        <v/>
      </c>
      <c r="H28" s="1196" t="str">
        <f t="shared" si="7"/>
        <v/>
      </c>
      <c r="Q28" t="str">
        <f t="shared" si="8"/>
        <v>NO</v>
      </c>
      <c r="R28" t="str">
        <f t="shared" si="8"/>
        <v>NO</v>
      </c>
      <c r="S28" t="str">
        <f t="shared" si="8"/>
        <v>NO</v>
      </c>
      <c r="T28" t="str">
        <f t="shared" si="8"/>
        <v>NO</v>
      </c>
      <c r="U28" t="str">
        <f t="shared" si="8"/>
        <v>NO</v>
      </c>
      <c r="V28" t="str">
        <f t="shared" si="8"/>
        <v/>
      </c>
      <c r="W28" t="str">
        <f t="shared" si="9"/>
        <v/>
      </c>
      <c r="X28" s="1196" t="str">
        <f t="shared" si="10"/>
        <v/>
      </c>
      <c r="AG28" t="str">
        <f t="shared" si="11"/>
        <v>NO</v>
      </c>
      <c r="AH28" t="str">
        <f t="shared" si="11"/>
        <v>NO</v>
      </c>
      <c r="AI28" t="str">
        <f t="shared" si="11"/>
        <v>NO</v>
      </c>
      <c r="AJ28" t="str">
        <f t="shared" si="11"/>
        <v>NO</v>
      </c>
      <c r="AK28" t="str">
        <f t="shared" si="11"/>
        <v>NO</v>
      </c>
      <c r="AL28" t="str">
        <f t="shared" si="11"/>
        <v/>
      </c>
      <c r="AN28" s="1196" t="str">
        <f t="shared" si="12"/>
        <v/>
      </c>
      <c r="AW28" t="str">
        <f t="shared" si="13"/>
        <v>NO</v>
      </c>
      <c r="AX28" t="str">
        <f t="shared" si="13"/>
        <v>NO</v>
      </c>
      <c r="AY28" t="str">
        <f t="shared" si="13"/>
        <v>NO</v>
      </c>
      <c r="AZ28" t="str">
        <f t="shared" si="13"/>
        <v>NO</v>
      </c>
      <c r="BA28" t="str">
        <f t="shared" si="13"/>
        <v>NO</v>
      </c>
      <c r="BB28" t="str">
        <f t="shared" si="13"/>
        <v/>
      </c>
      <c r="BD28" s="1196" t="str">
        <f t="shared" si="14"/>
        <v/>
      </c>
      <c r="BQ28" s="1196" t="str">
        <f t="shared" si="15"/>
        <v/>
      </c>
    </row>
    <row r="29" spans="1:89" x14ac:dyDescent="0.35">
      <c r="A29" t="str">
        <f t="shared" si="6"/>
        <v>NO</v>
      </c>
      <c r="B29" t="str">
        <f t="shared" si="6"/>
        <v>NO</v>
      </c>
      <c r="C29" t="str">
        <f t="shared" si="6"/>
        <v>NO</v>
      </c>
      <c r="D29" t="str">
        <f t="shared" si="6"/>
        <v>NO</v>
      </c>
      <c r="E29" t="str">
        <f t="shared" si="6"/>
        <v>NO</v>
      </c>
      <c r="F29" t="str">
        <f t="shared" si="6"/>
        <v/>
      </c>
      <c r="H29" s="1196" t="str">
        <f t="shared" si="7"/>
        <v/>
      </c>
      <c r="Q29" t="str">
        <f t="shared" si="8"/>
        <v>NO</v>
      </c>
      <c r="R29" t="str">
        <f t="shared" si="8"/>
        <v>NO</v>
      </c>
      <c r="S29" t="str">
        <f t="shared" si="8"/>
        <v>NO</v>
      </c>
      <c r="T29" t="str">
        <f t="shared" si="8"/>
        <v>NO</v>
      </c>
      <c r="U29" t="str">
        <f t="shared" si="8"/>
        <v>NO</v>
      </c>
      <c r="V29" t="str">
        <f t="shared" si="8"/>
        <v/>
      </c>
      <c r="W29" t="str">
        <f t="shared" si="9"/>
        <v/>
      </c>
      <c r="X29" s="1196" t="str">
        <f t="shared" si="10"/>
        <v/>
      </c>
      <c r="AG29" t="str">
        <f t="shared" si="11"/>
        <v>NO</v>
      </c>
      <c r="AH29" t="str">
        <f t="shared" si="11"/>
        <v>NO</v>
      </c>
      <c r="AI29" t="str">
        <f t="shared" si="11"/>
        <v>NO</v>
      </c>
      <c r="AJ29" t="str">
        <f t="shared" si="11"/>
        <v>NO</v>
      </c>
      <c r="AK29" t="str">
        <f t="shared" si="11"/>
        <v>NO</v>
      </c>
      <c r="AL29" t="str">
        <f t="shared" si="11"/>
        <v/>
      </c>
      <c r="AN29" s="1196" t="str">
        <f t="shared" si="12"/>
        <v/>
      </c>
      <c r="AW29" t="str">
        <f t="shared" si="13"/>
        <v>NO</v>
      </c>
      <c r="AX29" t="str">
        <f t="shared" si="13"/>
        <v>NO</v>
      </c>
      <c r="AY29" t="str">
        <f t="shared" si="13"/>
        <v>NO</v>
      </c>
      <c r="AZ29" t="str">
        <f t="shared" si="13"/>
        <v>NO</v>
      </c>
      <c r="BA29" t="str">
        <f t="shared" si="13"/>
        <v>NO</v>
      </c>
      <c r="BB29" t="str">
        <f t="shared" si="13"/>
        <v/>
      </c>
      <c r="BD29" s="1196" t="str">
        <f t="shared" si="14"/>
        <v/>
      </c>
      <c r="BQ29" s="1196" t="str">
        <f t="shared" si="15"/>
        <v/>
      </c>
    </row>
    <row r="30" spans="1:89" x14ac:dyDescent="0.35">
      <c r="A30" t="str">
        <f t="shared" si="6"/>
        <v>NO</v>
      </c>
      <c r="B30" t="str">
        <f t="shared" si="6"/>
        <v>NO</v>
      </c>
      <c r="C30" t="str">
        <f t="shared" si="6"/>
        <v>NO</v>
      </c>
      <c r="D30" t="str">
        <f t="shared" si="6"/>
        <v>NO</v>
      </c>
      <c r="E30" t="str">
        <f t="shared" si="6"/>
        <v>NO</v>
      </c>
      <c r="F30" t="str">
        <f t="shared" si="6"/>
        <v/>
      </c>
      <c r="H30" s="1196" t="str">
        <f t="shared" si="7"/>
        <v/>
      </c>
      <c r="Q30" t="str">
        <f t="shared" si="8"/>
        <v>NO</v>
      </c>
      <c r="R30" t="str">
        <f t="shared" si="8"/>
        <v>NO</v>
      </c>
      <c r="S30" t="str">
        <f t="shared" si="8"/>
        <v>NO</v>
      </c>
      <c r="T30" t="str">
        <f t="shared" si="8"/>
        <v>NO</v>
      </c>
      <c r="U30" t="str">
        <f t="shared" si="8"/>
        <v>NO</v>
      </c>
      <c r="V30" t="str">
        <f t="shared" si="8"/>
        <v/>
      </c>
      <c r="W30" t="str">
        <f t="shared" si="9"/>
        <v/>
      </c>
      <c r="X30" s="1196" t="str">
        <f t="shared" si="10"/>
        <v/>
      </c>
      <c r="AG30" t="str">
        <f t="shared" si="11"/>
        <v>NO</v>
      </c>
      <c r="AH30" t="str">
        <f t="shared" si="11"/>
        <v>NO</v>
      </c>
      <c r="AI30" t="str">
        <f t="shared" si="11"/>
        <v>NO</v>
      </c>
      <c r="AJ30" t="str">
        <f t="shared" si="11"/>
        <v>NO</v>
      </c>
      <c r="AK30" t="str">
        <f t="shared" si="11"/>
        <v>NO</v>
      </c>
      <c r="AL30" t="str">
        <f t="shared" si="11"/>
        <v/>
      </c>
      <c r="AN30" s="1196" t="str">
        <f t="shared" si="12"/>
        <v/>
      </c>
      <c r="AW30" t="str">
        <f t="shared" si="13"/>
        <v>NO</v>
      </c>
      <c r="AX30" t="str">
        <f t="shared" si="13"/>
        <v>NO</v>
      </c>
      <c r="AY30" t="str">
        <f t="shared" si="13"/>
        <v>NO</v>
      </c>
      <c r="AZ30" t="str">
        <f t="shared" si="13"/>
        <v>NO</v>
      </c>
      <c r="BA30" t="str">
        <f t="shared" si="13"/>
        <v>NO</v>
      </c>
      <c r="BB30" t="str">
        <f t="shared" si="13"/>
        <v/>
      </c>
      <c r="BD30" s="1196" t="str">
        <f t="shared" si="14"/>
        <v/>
      </c>
      <c r="BQ30" s="1196" t="str">
        <f t="shared" si="15"/>
        <v/>
      </c>
      <c r="CJ30" s="264"/>
      <c r="CK30" s="264"/>
    </row>
    <row r="31" spans="1:89" x14ac:dyDescent="0.35">
      <c r="A31" t="str">
        <f t="shared" si="6"/>
        <v>NO</v>
      </c>
      <c r="B31" t="str">
        <f t="shared" si="6"/>
        <v>NO</v>
      </c>
      <c r="C31" t="str">
        <f t="shared" si="6"/>
        <v>NO</v>
      </c>
      <c r="D31" t="str">
        <f t="shared" si="6"/>
        <v>NO</v>
      </c>
      <c r="E31" t="str">
        <f t="shared" si="6"/>
        <v>NO</v>
      </c>
      <c r="F31" t="str">
        <f t="shared" si="6"/>
        <v/>
      </c>
      <c r="H31" s="1196" t="str">
        <f t="shared" si="7"/>
        <v/>
      </c>
      <c r="Q31" t="str">
        <f t="shared" si="8"/>
        <v>NO</v>
      </c>
      <c r="R31" t="str">
        <f t="shared" si="8"/>
        <v>NO</v>
      </c>
      <c r="S31" t="str">
        <f t="shared" si="8"/>
        <v>NO</v>
      </c>
      <c r="T31" t="str">
        <f t="shared" si="8"/>
        <v>NO</v>
      </c>
      <c r="U31" t="str">
        <f t="shared" si="8"/>
        <v>NO</v>
      </c>
      <c r="V31" t="str">
        <f t="shared" si="8"/>
        <v/>
      </c>
      <c r="W31" t="str">
        <f t="shared" si="9"/>
        <v/>
      </c>
      <c r="X31" s="1196" t="str">
        <f t="shared" si="10"/>
        <v/>
      </c>
      <c r="AG31" t="str">
        <f t="shared" si="11"/>
        <v>NO</v>
      </c>
      <c r="AH31" t="str">
        <f t="shared" si="11"/>
        <v>NO</v>
      </c>
      <c r="AI31" t="str">
        <f t="shared" si="11"/>
        <v>NO</v>
      </c>
      <c r="AJ31" t="str">
        <f t="shared" si="11"/>
        <v>NO</v>
      </c>
      <c r="AK31" t="str">
        <f t="shared" si="11"/>
        <v>NO</v>
      </c>
      <c r="AL31" t="str">
        <f t="shared" si="11"/>
        <v/>
      </c>
      <c r="AN31" s="1196" t="str">
        <f t="shared" si="12"/>
        <v/>
      </c>
      <c r="AW31" t="str">
        <f t="shared" si="13"/>
        <v>NO</v>
      </c>
      <c r="AX31" t="str">
        <f t="shared" si="13"/>
        <v>NO</v>
      </c>
      <c r="AY31" t="str">
        <f t="shared" si="13"/>
        <v>NO</v>
      </c>
      <c r="AZ31" t="str">
        <f t="shared" si="13"/>
        <v>NO</v>
      </c>
      <c r="BA31" t="str">
        <f t="shared" si="13"/>
        <v>NO</v>
      </c>
      <c r="BB31" t="str">
        <f t="shared" si="13"/>
        <v/>
      </c>
      <c r="BD31" s="1196" t="str">
        <f t="shared" si="14"/>
        <v/>
      </c>
      <c r="BQ31" s="1196" t="str">
        <f t="shared" si="15"/>
        <v/>
      </c>
    </row>
    <row r="32" spans="1:89" x14ac:dyDescent="0.35">
      <c r="A32" t="str">
        <f t="shared" si="6"/>
        <v>NO</v>
      </c>
      <c r="B32" t="str">
        <f t="shared" si="6"/>
        <v>NO</v>
      </c>
      <c r="C32" t="str">
        <f t="shared" si="6"/>
        <v>NO</v>
      </c>
      <c r="D32" t="str">
        <f t="shared" si="6"/>
        <v>NO</v>
      </c>
      <c r="E32" t="str">
        <f t="shared" si="6"/>
        <v>NO</v>
      </c>
      <c r="F32" t="str">
        <f t="shared" si="6"/>
        <v/>
      </c>
      <c r="H32" s="1196" t="str">
        <f t="shared" si="7"/>
        <v/>
      </c>
      <c r="Q32" t="str">
        <f t="shared" si="8"/>
        <v>NO</v>
      </c>
      <c r="R32" t="str">
        <f t="shared" si="8"/>
        <v>NO</v>
      </c>
      <c r="S32" t="str">
        <f t="shared" si="8"/>
        <v>NO</v>
      </c>
      <c r="T32" t="str">
        <f t="shared" si="8"/>
        <v>NO</v>
      </c>
      <c r="U32" t="str">
        <f t="shared" si="8"/>
        <v>NO</v>
      </c>
      <c r="V32" t="str">
        <f t="shared" si="8"/>
        <v/>
      </c>
      <c r="W32" t="str">
        <f t="shared" si="9"/>
        <v/>
      </c>
      <c r="X32" s="1196" t="str">
        <f t="shared" si="10"/>
        <v/>
      </c>
      <c r="AG32" t="str">
        <f t="shared" si="11"/>
        <v>NO</v>
      </c>
      <c r="AH32" t="str">
        <f t="shared" si="11"/>
        <v>NO</v>
      </c>
      <c r="AI32" t="str">
        <f t="shared" si="11"/>
        <v>NO</v>
      </c>
      <c r="AJ32" t="str">
        <f t="shared" si="11"/>
        <v>NO</v>
      </c>
      <c r="AK32" t="str">
        <f t="shared" si="11"/>
        <v>NO</v>
      </c>
      <c r="AL32" t="str">
        <f t="shared" si="11"/>
        <v/>
      </c>
      <c r="AN32" s="1196" t="str">
        <f t="shared" si="12"/>
        <v/>
      </c>
      <c r="AW32" t="str">
        <f t="shared" si="13"/>
        <v>NO</v>
      </c>
      <c r="AX32" t="str">
        <f t="shared" si="13"/>
        <v>NO</v>
      </c>
      <c r="AY32" t="str">
        <f t="shared" si="13"/>
        <v>NO</v>
      </c>
      <c r="AZ32" t="str">
        <f t="shared" si="13"/>
        <v>NO</v>
      </c>
      <c r="BA32" t="str">
        <f t="shared" si="13"/>
        <v>NO</v>
      </c>
      <c r="BB32" t="str">
        <f t="shared" si="13"/>
        <v/>
      </c>
      <c r="BD32" s="1196" t="str">
        <f t="shared" si="14"/>
        <v/>
      </c>
      <c r="BQ32" s="1196" t="str">
        <f t="shared" si="15"/>
        <v/>
      </c>
    </row>
    <row r="33" spans="1:69" x14ac:dyDescent="0.35">
      <c r="A33" t="str">
        <f t="shared" si="6"/>
        <v>NO</v>
      </c>
      <c r="B33" t="str">
        <f t="shared" si="6"/>
        <v>NO</v>
      </c>
      <c r="C33" t="str">
        <f t="shared" si="6"/>
        <v>NO</v>
      </c>
      <c r="D33" t="str">
        <f t="shared" si="6"/>
        <v>NO</v>
      </c>
      <c r="E33" t="str">
        <f t="shared" si="6"/>
        <v>NO</v>
      </c>
      <c r="F33" t="str">
        <f t="shared" si="6"/>
        <v/>
      </c>
      <c r="H33" s="1196" t="str">
        <f t="shared" si="7"/>
        <v/>
      </c>
      <c r="Q33" t="str">
        <f t="shared" si="8"/>
        <v>NO</v>
      </c>
      <c r="R33" t="str">
        <f t="shared" si="8"/>
        <v>NO</v>
      </c>
      <c r="S33" t="str">
        <f t="shared" si="8"/>
        <v>NO</v>
      </c>
      <c r="T33" t="str">
        <f t="shared" si="8"/>
        <v>NO</v>
      </c>
      <c r="U33" t="str">
        <f t="shared" si="8"/>
        <v>NO</v>
      </c>
      <c r="V33" t="str">
        <f t="shared" si="8"/>
        <v/>
      </c>
      <c r="W33" t="str">
        <f t="shared" si="9"/>
        <v/>
      </c>
      <c r="X33" s="1196" t="str">
        <f t="shared" si="10"/>
        <v/>
      </c>
      <c r="AG33" t="str">
        <f t="shared" si="11"/>
        <v>NO</v>
      </c>
      <c r="AH33" t="str">
        <f t="shared" si="11"/>
        <v>NO</v>
      </c>
      <c r="AI33" t="str">
        <f t="shared" si="11"/>
        <v>NO</v>
      </c>
      <c r="AJ33" t="str">
        <f t="shared" si="11"/>
        <v>NO</v>
      </c>
      <c r="AK33" t="str">
        <f t="shared" si="11"/>
        <v>NO</v>
      </c>
      <c r="AL33" t="str">
        <f t="shared" si="11"/>
        <v/>
      </c>
      <c r="AN33" s="1196" t="str">
        <f t="shared" si="12"/>
        <v/>
      </c>
      <c r="AW33" t="str">
        <f t="shared" si="13"/>
        <v>NO</v>
      </c>
      <c r="AX33" t="str">
        <f t="shared" si="13"/>
        <v>NO</v>
      </c>
      <c r="AY33" t="str">
        <f t="shared" si="13"/>
        <v>NO</v>
      </c>
      <c r="AZ33" t="str">
        <f t="shared" si="13"/>
        <v>NO</v>
      </c>
      <c r="BA33" t="str">
        <f t="shared" si="13"/>
        <v>NO</v>
      </c>
      <c r="BB33" t="str">
        <f t="shared" si="13"/>
        <v/>
      </c>
      <c r="BD33" s="1196" t="str">
        <f t="shared" si="14"/>
        <v/>
      </c>
      <c r="BQ33" s="1196" t="str">
        <f t="shared" si="15"/>
        <v/>
      </c>
    </row>
    <row r="34" spans="1:69" x14ac:dyDescent="0.35">
      <c r="A34" t="str">
        <f t="shared" si="6"/>
        <v>NO</v>
      </c>
      <c r="B34" t="str">
        <f t="shared" si="6"/>
        <v>NO</v>
      </c>
      <c r="C34" t="str">
        <f t="shared" si="6"/>
        <v>NO</v>
      </c>
      <c r="D34" t="str">
        <f t="shared" si="6"/>
        <v>NO</v>
      </c>
      <c r="E34" t="str">
        <f t="shared" si="6"/>
        <v>NO</v>
      </c>
      <c r="F34" t="str">
        <f t="shared" si="6"/>
        <v/>
      </c>
      <c r="H34" s="1196" t="str">
        <f t="shared" si="7"/>
        <v/>
      </c>
      <c r="Q34" t="str">
        <f t="shared" si="8"/>
        <v>NO</v>
      </c>
      <c r="R34" t="str">
        <f t="shared" si="8"/>
        <v>NO</v>
      </c>
      <c r="S34" t="str">
        <f t="shared" si="8"/>
        <v>NO</v>
      </c>
      <c r="T34" t="str">
        <f t="shared" si="8"/>
        <v>NO</v>
      </c>
      <c r="U34" t="str">
        <f t="shared" si="8"/>
        <v>NO</v>
      </c>
      <c r="V34" t="str">
        <f t="shared" si="8"/>
        <v/>
      </c>
      <c r="W34" t="str">
        <f t="shared" si="9"/>
        <v/>
      </c>
      <c r="X34" s="1196" t="str">
        <f t="shared" si="10"/>
        <v/>
      </c>
      <c r="AG34" t="str">
        <f t="shared" si="11"/>
        <v>NO</v>
      </c>
      <c r="AH34" t="str">
        <f t="shared" si="11"/>
        <v>NO</v>
      </c>
      <c r="AI34" t="str">
        <f t="shared" si="11"/>
        <v>NO</v>
      </c>
      <c r="AJ34" t="str">
        <f t="shared" si="11"/>
        <v>NO</v>
      </c>
      <c r="AK34" t="str">
        <f t="shared" si="11"/>
        <v>NO</v>
      </c>
      <c r="AL34" t="str">
        <f t="shared" si="11"/>
        <v/>
      </c>
      <c r="AN34" s="1196" t="str">
        <f t="shared" si="12"/>
        <v/>
      </c>
      <c r="AW34" t="str">
        <f t="shared" si="13"/>
        <v>NO</v>
      </c>
      <c r="AX34" t="str">
        <f t="shared" si="13"/>
        <v>NO</v>
      </c>
      <c r="AY34" t="str">
        <f t="shared" si="13"/>
        <v>NO</v>
      </c>
      <c r="AZ34" t="str">
        <f t="shared" si="13"/>
        <v>NO</v>
      </c>
      <c r="BA34" t="str">
        <f t="shared" si="13"/>
        <v>NO</v>
      </c>
      <c r="BB34" t="str">
        <f t="shared" si="13"/>
        <v/>
      </c>
      <c r="BD34" s="1196" t="str">
        <f t="shared" si="14"/>
        <v/>
      </c>
      <c r="BQ34" s="1196" t="str">
        <f t="shared" si="15"/>
        <v/>
      </c>
    </row>
    <row r="35" spans="1:69" x14ac:dyDescent="0.35">
      <c r="A35" t="str">
        <f t="shared" si="6"/>
        <v>NO</v>
      </c>
      <c r="B35" t="str">
        <f t="shared" si="6"/>
        <v>NO</v>
      </c>
      <c r="C35" t="str">
        <f t="shared" si="6"/>
        <v>NO</v>
      </c>
      <c r="D35" t="str">
        <f t="shared" si="6"/>
        <v>NO</v>
      </c>
      <c r="E35" t="str">
        <f t="shared" si="6"/>
        <v>NO</v>
      </c>
      <c r="F35" t="str">
        <f t="shared" si="6"/>
        <v/>
      </c>
      <c r="H35" s="1196" t="str">
        <f t="shared" si="7"/>
        <v/>
      </c>
      <c r="Q35" t="str">
        <f t="shared" si="8"/>
        <v>NO</v>
      </c>
      <c r="R35" t="str">
        <f t="shared" si="8"/>
        <v>NO</v>
      </c>
      <c r="S35" t="str">
        <f t="shared" si="8"/>
        <v>NO</v>
      </c>
      <c r="T35" t="str">
        <f t="shared" si="8"/>
        <v>NO</v>
      </c>
      <c r="U35" t="str">
        <f t="shared" si="8"/>
        <v>NO</v>
      </c>
      <c r="V35" t="str">
        <f t="shared" si="8"/>
        <v/>
      </c>
      <c r="W35" t="str">
        <f t="shared" si="9"/>
        <v/>
      </c>
      <c r="X35" s="1196" t="str">
        <f t="shared" si="10"/>
        <v/>
      </c>
      <c r="AG35" t="str">
        <f t="shared" si="11"/>
        <v>NO</v>
      </c>
      <c r="AH35" t="str">
        <f t="shared" si="11"/>
        <v>NO</v>
      </c>
      <c r="AI35" t="str">
        <f t="shared" si="11"/>
        <v>NO</v>
      </c>
      <c r="AJ35" t="str">
        <f t="shared" si="11"/>
        <v>NO</v>
      </c>
      <c r="AK35" t="str">
        <f t="shared" si="11"/>
        <v>NO</v>
      </c>
      <c r="AL35" t="str">
        <f t="shared" si="11"/>
        <v/>
      </c>
      <c r="AN35" s="1196" t="str">
        <f t="shared" si="12"/>
        <v/>
      </c>
      <c r="AW35" t="str">
        <f t="shared" si="13"/>
        <v>NO</v>
      </c>
      <c r="AX35" t="str">
        <f t="shared" si="13"/>
        <v>NO</v>
      </c>
      <c r="AY35" t="str">
        <f t="shared" si="13"/>
        <v>NO</v>
      </c>
      <c r="AZ35" t="str">
        <f t="shared" si="13"/>
        <v>NO</v>
      </c>
      <c r="BA35" t="str">
        <f t="shared" si="13"/>
        <v>NO</v>
      </c>
      <c r="BB35" t="str">
        <f t="shared" si="13"/>
        <v/>
      </c>
      <c r="BD35" s="1196" t="str">
        <f t="shared" si="14"/>
        <v/>
      </c>
      <c r="BQ35" s="1196" t="str">
        <f t="shared" si="15"/>
        <v/>
      </c>
    </row>
    <row r="36" spans="1:69" x14ac:dyDescent="0.35">
      <c r="A36" t="str">
        <f t="shared" ref="A36:F67" si="22">IFERROR(IF($K36=A$2,_xlfn.CONCAT($I36,$J36),"NO"),0)</f>
        <v>NO</v>
      </c>
      <c r="B36" t="str">
        <f t="shared" si="22"/>
        <v>NO</v>
      </c>
      <c r="C36" t="str">
        <f t="shared" si="22"/>
        <v>NO</v>
      </c>
      <c r="D36" t="str">
        <f t="shared" si="22"/>
        <v>NO</v>
      </c>
      <c r="E36" t="str">
        <f t="shared" si="22"/>
        <v>NO</v>
      </c>
      <c r="F36" t="str">
        <f t="shared" si="22"/>
        <v/>
      </c>
      <c r="H36" s="1196" t="str">
        <f t="shared" si="7"/>
        <v/>
      </c>
      <c r="Q36" t="str">
        <f t="shared" ref="Q36:V67" si="23">IFERROR(IF($AA36=Q$2,_xlfn.CONCAT($Y36,$Z36),"NO"),0)</f>
        <v>NO</v>
      </c>
      <c r="R36" t="str">
        <f t="shared" si="23"/>
        <v>NO</v>
      </c>
      <c r="S36" t="str">
        <f t="shared" si="23"/>
        <v>NO</v>
      </c>
      <c r="T36" t="str">
        <f t="shared" si="23"/>
        <v>NO</v>
      </c>
      <c r="U36" t="str">
        <f t="shared" si="23"/>
        <v>NO</v>
      </c>
      <c r="V36" t="str">
        <f t="shared" si="23"/>
        <v/>
      </c>
      <c r="W36" t="str">
        <f t="shared" si="9"/>
        <v/>
      </c>
      <c r="X36" s="1196" t="str">
        <f t="shared" si="10"/>
        <v/>
      </c>
      <c r="AG36" t="str">
        <f t="shared" ref="AG36:AL67" si="24">IFERROR(IF($AQ36=AG$2,_xlfn.CONCAT($AO36,$AP36),"NO"),0)</f>
        <v>NO</v>
      </c>
      <c r="AH36" t="str">
        <f t="shared" si="24"/>
        <v>NO</v>
      </c>
      <c r="AI36" t="str">
        <f t="shared" si="24"/>
        <v>NO</v>
      </c>
      <c r="AJ36" t="str">
        <f t="shared" si="24"/>
        <v>NO</v>
      </c>
      <c r="AK36" t="str">
        <f t="shared" si="24"/>
        <v>NO</v>
      </c>
      <c r="AL36" t="str">
        <f t="shared" si="24"/>
        <v/>
      </c>
      <c r="AN36" s="1196" t="str">
        <f t="shared" si="12"/>
        <v/>
      </c>
      <c r="AW36" t="str">
        <f t="shared" ref="AW36:BB67" si="25">IFERROR(IF($BG36=AW$2,_xlfn.CONCAT($BE36,$BF36),"NO"),0)</f>
        <v>NO</v>
      </c>
      <c r="AX36" t="str">
        <f t="shared" si="25"/>
        <v>NO</v>
      </c>
      <c r="AY36" t="str">
        <f t="shared" si="25"/>
        <v>NO</v>
      </c>
      <c r="AZ36" t="str">
        <f t="shared" si="25"/>
        <v>NO</v>
      </c>
      <c r="BA36" t="str">
        <f t="shared" si="25"/>
        <v>NO</v>
      </c>
      <c r="BB36" t="str">
        <f t="shared" si="25"/>
        <v/>
      </c>
      <c r="BD36" s="1196" t="str">
        <f t="shared" si="14"/>
        <v/>
      </c>
      <c r="BQ36" s="1196" t="str">
        <f t="shared" si="15"/>
        <v/>
      </c>
    </row>
    <row r="37" spans="1:69" x14ac:dyDescent="0.35">
      <c r="A37" t="str">
        <f t="shared" si="22"/>
        <v>NO</v>
      </c>
      <c r="B37" t="str">
        <f t="shared" si="22"/>
        <v>NO</v>
      </c>
      <c r="C37" t="str">
        <f t="shared" si="22"/>
        <v>NO</v>
      </c>
      <c r="D37" t="str">
        <f t="shared" si="22"/>
        <v>NO</v>
      </c>
      <c r="E37" t="str">
        <f t="shared" si="22"/>
        <v>NO</v>
      </c>
      <c r="F37" t="str">
        <f t="shared" si="22"/>
        <v/>
      </c>
      <c r="H37" s="1196" t="str">
        <f t="shared" si="7"/>
        <v/>
      </c>
      <c r="Q37" t="str">
        <f t="shared" si="23"/>
        <v>NO</v>
      </c>
      <c r="R37" t="str">
        <f t="shared" si="23"/>
        <v>NO</v>
      </c>
      <c r="S37" t="str">
        <f t="shared" si="23"/>
        <v>NO</v>
      </c>
      <c r="T37" t="str">
        <f t="shared" si="23"/>
        <v>NO</v>
      </c>
      <c r="U37" t="str">
        <f t="shared" si="23"/>
        <v>NO</v>
      </c>
      <c r="V37" t="str">
        <f t="shared" si="23"/>
        <v/>
      </c>
      <c r="W37" t="str">
        <f t="shared" si="9"/>
        <v/>
      </c>
      <c r="X37" s="1196" t="str">
        <f t="shared" si="10"/>
        <v/>
      </c>
      <c r="AG37" t="str">
        <f t="shared" si="24"/>
        <v>NO</v>
      </c>
      <c r="AH37" t="str">
        <f t="shared" si="24"/>
        <v>NO</v>
      </c>
      <c r="AI37" t="str">
        <f t="shared" si="24"/>
        <v>NO</v>
      </c>
      <c r="AJ37" t="str">
        <f t="shared" si="24"/>
        <v>NO</v>
      </c>
      <c r="AK37" t="str">
        <f t="shared" si="24"/>
        <v>NO</v>
      </c>
      <c r="AL37" t="str">
        <f t="shared" si="24"/>
        <v/>
      </c>
      <c r="AN37" s="1196" t="str">
        <f t="shared" si="12"/>
        <v/>
      </c>
      <c r="AW37" t="str">
        <f t="shared" si="25"/>
        <v>NO</v>
      </c>
      <c r="AX37" t="str">
        <f t="shared" si="25"/>
        <v>NO</v>
      </c>
      <c r="AY37" t="str">
        <f t="shared" si="25"/>
        <v>NO</v>
      </c>
      <c r="AZ37" t="str">
        <f t="shared" si="25"/>
        <v>NO</v>
      </c>
      <c r="BA37" t="str">
        <f t="shared" si="25"/>
        <v>NO</v>
      </c>
      <c r="BB37" t="str">
        <f t="shared" si="25"/>
        <v/>
      </c>
      <c r="BD37" s="1196" t="str">
        <f t="shared" si="14"/>
        <v/>
      </c>
      <c r="BQ37" s="1196" t="str">
        <f t="shared" si="15"/>
        <v/>
      </c>
    </row>
    <row r="38" spans="1:69" x14ac:dyDescent="0.35">
      <c r="A38" t="str">
        <f t="shared" si="22"/>
        <v>NO</v>
      </c>
      <c r="B38" t="str">
        <f t="shared" si="22"/>
        <v>NO</v>
      </c>
      <c r="C38" t="str">
        <f t="shared" si="22"/>
        <v>NO</v>
      </c>
      <c r="D38" t="str">
        <f t="shared" si="22"/>
        <v>NO</v>
      </c>
      <c r="E38" t="str">
        <f t="shared" si="22"/>
        <v>NO</v>
      </c>
      <c r="F38" t="str">
        <f t="shared" si="22"/>
        <v/>
      </c>
      <c r="H38" s="1196" t="str">
        <f t="shared" si="7"/>
        <v/>
      </c>
      <c r="Q38" t="str">
        <f t="shared" si="23"/>
        <v>NO</v>
      </c>
      <c r="R38" t="str">
        <f t="shared" si="23"/>
        <v>NO</v>
      </c>
      <c r="S38" t="str">
        <f t="shared" si="23"/>
        <v>NO</v>
      </c>
      <c r="T38" t="str">
        <f t="shared" si="23"/>
        <v>NO</v>
      </c>
      <c r="U38" t="str">
        <f t="shared" si="23"/>
        <v>NO</v>
      </c>
      <c r="V38" t="str">
        <f t="shared" si="23"/>
        <v/>
      </c>
      <c r="W38" t="str">
        <f t="shared" si="9"/>
        <v/>
      </c>
      <c r="X38" s="1196" t="str">
        <f t="shared" si="10"/>
        <v/>
      </c>
      <c r="AG38" t="str">
        <f t="shared" si="24"/>
        <v>NO</v>
      </c>
      <c r="AH38" t="str">
        <f t="shared" si="24"/>
        <v>NO</v>
      </c>
      <c r="AI38" t="str">
        <f t="shared" si="24"/>
        <v>NO</v>
      </c>
      <c r="AJ38" t="str">
        <f t="shared" si="24"/>
        <v>NO</v>
      </c>
      <c r="AK38" t="str">
        <f t="shared" si="24"/>
        <v>NO</v>
      </c>
      <c r="AL38" t="str">
        <f t="shared" si="24"/>
        <v/>
      </c>
      <c r="AN38" s="1196" t="str">
        <f t="shared" si="12"/>
        <v/>
      </c>
      <c r="AW38" t="str">
        <f t="shared" si="25"/>
        <v>NO</v>
      </c>
      <c r="AX38" t="str">
        <f t="shared" si="25"/>
        <v>NO</v>
      </c>
      <c r="AY38" t="str">
        <f t="shared" si="25"/>
        <v>NO</v>
      </c>
      <c r="AZ38" t="str">
        <f t="shared" si="25"/>
        <v>NO</v>
      </c>
      <c r="BA38" t="str">
        <f t="shared" si="25"/>
        <v>NO</v>
      </c>
      <c r="BB38" t="str">
        <f t="shared" si="25"/>
        <v/>
      </c>
      <c r="BD38" s="1196" t="str">
        <f t="shared" si="14"/>
        <v/>
      </c>
      <c r="BQ38" s="1196" t="str">
        <f t="shared" si="15"/>
        <v/>
      </c>
    </row>
    <row r="39" spans="1:69" x14ac:dyDescent="0.35">
      <c r="A39" t="str">
        <f t="shared" si="22"/>
        <v>NO</v>
      </c>
      <c r="B39" t="str">
        <f t="shared" si="22"/>
        <v>NO</v>
      </c>
      <c r="C39" t="str">
        <f t="shared" si="22"/>
        <v>NO</v>
      </c>
      <c r="D39" t="str">
        <f t="shared" si="22"/>
        <v>NO</v>
      </c>
      <c r="E39" t="str">
        <f t="shared" si="22"/>
        <v>NO</v>
      </c>
      <c r="F39" t="str">
        <f t="shared" si="22"/>
        <v/>
      </c>
      <c r="H39" s="1196" t="str">
        <f t="shared" si="7"/>
        <v/>
      </c>
      <c r="Q39" t="str">
        <f t="shared" si="23"/>
        <v>NO</v>
      </c>
      <c r="R39" t="str">
        <f t="shared" si="23"/>
        <v>NO</v>
      </c>
      <c r="S39" t="str">
        <f t="shared" si="23"/>
        <v>NO</v>
      </c>
      <c r="T39" t="str">
        <f t="shared" si="23"/>
        <v>NO</v>
      </c>
      <c r="U39" t="str">
        <f t="shared" si="23"/>
        <v>NO</v>
      </c>
      <c r="V39" t="str">
        <f t="shared" si="23"/>
        <v/>
      </c>
      <c r="W39" t="str">
        <f t="shared" si="9"/>
        <v/>
      </c>
      <c r="X39" s="1196" t="str">
        <f t="shared" si="10"/>
        <v/>
      </c>
      <c r="AG39" t="str">
        <f t="shared" si="24"/>
        <v>NO</v>
      </c>
      <c r="AH39" t="str">
        <f t="shared" si="24"/>
        <v>NO</v>
      </c>
      <c r="AI39" t="str">
        <f t="shared" si="24"/>
        <v>NO</v>
      </c>
      <c r="AJ39" t="str">
        <f t="shared" si="24"/>
        <v>NO</v>
      </c>
      <c r="AK39" t="str">
        <f t="shared" si="24"/>
        <v>NO</v>
      </c>
      <c r="AL39" t="str">
        <f t="shared" si="24"/>
        <v/>
      </c>
      <c r="AN39" s="1196" t="str">
        <f t="shared" si="12"/>
        <v/>
      </c>
      <c r="AW39" t="str">
        <f t="shared" si="25"/>
        <v>NO</v>
      </c>
      <c r="AX39" t="str">
        <f t="shared" si="25"/>
        <v>NO</v>
      </c>
      <c r="AY39" t="str">
        <f t="shared" si="25"/>
        <v>NO</v>
      </c>
      <c r="AZ39" t="str">
        <f t="shared" si="25"/>
        <v>NO</v>
      </c>
      <c r="BA39" t="str">
        <f t="shared" si="25"/>
        <v>NO</v>
      </c>
      <c r="BB39" t="str">
        <f t="shared" si="25"/>
        <v/>
      </c>
      <c r="BD39" s="1196" t="str">
        <f t="shared" si="14"/>
        <v/>
      </c>
      <c r="BQ39" s="1196" t="str">
        <f t="shared" si="15"/>
        <v/>
      </c>
    </row>
    <row r="40" spans="1:69" x14ac:dyDescent="0.35">
      <c r="A40" t="str">
        <f t="shared" si="22"/>
        <v>NO</v>
      </c>
      <c r="B40" t="str">
        <f t="shared" si="22"/>
        <v>NO</v>
      </c>
      <c r="C40" t="str">
        <f t="shared" si="22"/>
        <v>NO</v>
      </c>
      <c r="D40" t="str">
        <f t="shared" si="22"/>
        <v>NO</v>
      </c>
      <c r="E40" t="str">
        <f t="shared" si="22"/>
        <v>NO</v>
      </c>
      <c r="F40" t="str">
        <f t="shared" si="22"/>
        <v/>
      </c>
      <c r="H40" s="1196" t="str">
        <f t="shared" si="7"/>
        <v/>
      </c>
      <c r="Q40" t="str">
        <f t="shared" si="23"/>
        <v>NO</v>
      </c>
      <c r="R40" t="str">
        <f t="shared" si="23"/>
        <v>NO</v>
      </c>
      <c r="S40" t="str">
        <f t="shared" si="23"/>
        <v>NO</v>
      </c>
      <c r="T40" t="str">
        <f t="shared" si="23"/>
        <v>NO</v>
      </c>
      <c r="U40" t="str">
        <f t="shared" si="23"/>
        <v>NO</v>
      </c>
      <c r="V40" t="str">
        <f t="shared" si="23"/>
        <v/>
      </c>
      <c r="W40" t="str">
        <f t="shared" si="9"/>
        <v/>
      </c>
      <c r="X40" s="1196" t="str">
        <f t="shared" si="10"/>
        <v/>
      </c>
      <c r="AG40" t="str">
        <f t="shared" si="24"/>
        <v>NO</v>
      </c>
      <c r="AH40" t="str">
        <f t="shared" si="24"/>
        <v>NO</v>
      </c>
      <c r="AI40" t="str">
        <f t="shared" si="24"/>
        <v>NO</v>
      </c>
      <c r="AJ40" t="str">
        <f t="shared" si="24"/>
        <v>NO</v>
      </c>
      <c r="AK40" t="str">
        <f t="shared" si="24"/>
        <v>NO</v>
      </c>
      <c r="AL40" t="str">
        <f t="shared" si="24"/>
        <v/>
      </c>
      <c r="AN40" s="1196" t="str">
        <f t="shared" si="12"/>
        <v/>
      </c>
      <c r="AW40" t="str">
        <f t="shared" si="25"/>
        <v>NO</v>
      </c>
      <c r="AX40" t="str">
        <f t="shared" si="25"/>
        <v>NO</v>
      </c>
      <c r="AY40" t="str">
        <f t="shared" si="25"/>
        <v>NO</v>
      </c>
      <c r="AZ40" t="str">
        <f t="shared" si="25"/>
        <v>NO</v>
      </c>
      <c r="BA40" t="str">
        <f t="shared" si="25"/>
        <v>NO</v>
      </c>
      <c r="BB40" t="str">
        <f t="shared" si="25"/>
        <v/>
      </c>
      <c r="BD40" s="1196" t="str">
        <f t="shared" si="14"/>
        <v/>
      </c>
      <c r="BQ40" s="1196" t="str">
        <f t="shared" si="15"/>
        <v/>
      </c>
    </row>
    <row r="41" spans="1:69" x14ac:dyDescent="0.35">
      <c r="A41" t="str">
        <f t="shared" si="22"/>
        <v>NO</v>
      </c>
      <c r="B41" t="str">
        <f t="shared" si="22"/>
        <v>NO</v>
      </c>
      <c r="C41" t="str">
        <f t="shared" si="22"/>
        <v>NO</v>
      </c>
      <c r="D41" t="str">
        <f t="shared" si="22"/>
        <v>NO</v>
      </c>
      <c r="E41" t="str">
        <f t="shared" si="22"/>
        <v>NO</v>
      </c>
      <c r="F41" t="str">
        <f t="shared" si="22"/>
        <v/>
      </c>
      <c r="H41" s="1196" t="str">
        <f t="shared" si="7"/>
        <v/>
      </c>
      <c r="Q41" t="str">
        <f t="shared" si="23"/>
        <v>NO</v>
      </c>
      <c r="R41" t="str">
        <f t="shared" si="23"/>
        <v>NO</v>
      </c>
      <c r="S41" t="str">
        <f t="shared" si="23"/>
        <v>NO</v>
      </c>
      <c r="T41" t="str">
        <f t="shared" si="23"/>
        <v>NO</v>
      </c>
      <c r="U41" t="str">
        <f t="shared" si="23"/>
        <v>NO</v>
      </c>
      <c r="V41" t="str">
        <f t="shared" si="23"/>
        <v/>
      </c>
      <c r="W41" t="str">
        <f t="shared" si="9"/>
        <v/>
      </c>
      <c r="X41" s="1196" t="str">
        <f t="shared" si="10"/>
        <v/>
      </c>
      <c r="AG41" t="str">
        <f t="shared" si="24"/>
        <v>NO</v>
      </c>
      <c r="AH41" t="str">
        <f t="shared" si="24"/>
        <v>NO</v>
      </c>
      <c r="AI41" t="str">
        <f t="shared" si="24"/>
        <v>NO</v>
      </c>
      <c r="AJ41" t="str">
        <f t="shared" si="24"/>
        <v>NO</v>
      </c>
      <c r="AK41" t="str">
        <f t="shared" si="24"/>
        <v>NO</v>
      </c>
      <c r="AL41" t="str">
        <f t="shared" si="24"/>
        <v/>
      </c>
      <c r="AN41" s="1196" t="str">
        <f t="shared" si="12"/>
        <v/>
      </c>
      <c r="AW41" t="str">
        <f t="shared" si="25"/>
        <v>NO</v>
      </c>
      <c r="AX41" t="str">
        <f t="shared" si="25"/>
        <v>NO</v>
      </c>
      <c r="AY41" t="str">
        <f t="shared" si="25"/>
        <v>NO</v>
      </c>
      <c r="AZ41" t="str">
        <f t="shared" si="25"/>
        <v>NO</v>
      </c>
      <c r="BA41" t="str">
        <f t="shared" si="25"/>
        <v>NO</v>
      </c>
      <c r="BB41" t="str">
        <f t="shared" si="25"/>
        <v/>
      </c>
      <c r="BD41" s="1196" t="str">
        <f t="shared" si="14"/>
        <v/>
      </c>
      <c r="BQ41" s="1196" t="str">
        <f t="shared" si="15"/>
        <v/>
      </c>
    </row>
    <row r="42" spans="1:69" x14ac:dyDescent="0.35">
      <c r="A42" t="str">
        <f t="shared" si="22"/>
        <v>NO</v>
      </c>
      <c r="B42" t="str">
        <f t="shared" si="22"/>
        <v>NO</v>
      </c>
      <c r="C42" t="str">
        <f t="shared" si="22"/>
        <v>NO</v>
      </c>
      <c r="D42" t="str">
        <f t="shared" si="22"/>
        <v>NO</v>
      </c>
      <c r="E42" t="str">
        <f t="shared" si="22"/>
        <v>NO</v>
      </c>
      <c r="F42" t="str">
        <f t="shared" si="22"/>
        <v/>
      </c>
      <c r="H42" s="1196" t="str">
        <f t="shared" si="7"/>
        <v/>
      </c>
      <c r="Q42" t="str">
        <f t="shared" si="23"/>
        <v>NO</v>
      </c>
      <c r="R42" t="str">
        <f t="shared" si="23"/>
        <v>NO</v>
      </c>
      <c r="S42" t="str">
        <f t="shared" si="23"/>
        <v>NO</v>
      </c>
      <c r="T42" t="str">
        <f t="shared" si="23"/>
        <v>NO</v>
      </c>
      <c r="U42" t="str">
        <f t="shared" si="23"/>
        <v>NO</v>
      </c>
      <c r="V42" t="str">
        <f t="shared" si="23"/>
        <v/>
      </c>
      <c r="W42" t="str">
        <f t="shared" si="9"/>
        <v/>
      </c>
      <c r="X42" s="1196" t="str">
        <f t="shared" si="10"/>
        <v/>
      </c>
      <c r="AG42" t="str">
        <f t="shared" si="24"/>
        <v>NO</v>
      </c>
      <c r="AH42" t="str">
        <f t="shared" si="24"/>
        <v>NO</v>
      </c>
      <c r="AI42" t="str">
        <f t="shared" si="24"/>
        <v>NO</v>
      </c>
      <c r="AJ42" t="str">
        <f t="shared" si="24"/>
        <v>NO</v>
      </c>
      <c r="AK42" t="str">
        <f t="shared" si="24"/>
        <v>NO</v>
      </c>
      <c r="AL42" t="str">
        <f t="shared" si="24"/>
        <v/>
      </c>
      <c r="AN42" s="1196" t="str">
        <f t="shared" si="12"/>
        <v/>
      </c>
      <c r="AW42" t="str">
        <f t="shared" si="25"/>
        <v>NO</v>
      </c>
      <c r="AX42" t="str">
        <f t="shared" si="25"/>
        <v>NO</v>
      </c>
      <c r="AY42" t="str">
        <f t="shared" si="25"/>
        <v>NO</v>
      </c>
      <c r="AZ42" t="str">
        <f t="shared" si="25"/>
        <v>NO</v>
      </c>
      <c r="BA42" t="str">
        <f t="shared" si="25"/>
        <v>NO</v>
      </c>
      <c r="BB42" t="str">
        <f t="shared" si="25"/>
        <v/>
      </c>
      <c r="BD42" s="1196" t="str">
        <f t="shared" si="14"/>
        <v/>
      </c>
      <c r="BQ42" s="1196" t="str">
        <f t="shared" si="15"/>
        <v/>
      </c>
    </row>
    <row r="43" spans="1:69" x14ac:dyDescent="0.35">
      <c r="A43" t="str">
        <f t="shared" si="22"/>
        <v>NO</v>
      </c>
      <c r="B43" t="str">
        <f t="shared" si="22"/>
        <v>NO</v>
      </c>
      <c r="C43" t="str">
        <f t="shared" si="22"/>
        <v>NO</v>
      </c>
      <c r="D43" t="str">
        <f t="shared" si="22"/>
        <v>NO</v>
      </c>
      <c r="E43" t="str">
        <f t="shared" si="22"/>
        <v>NO</v>
      </c>
      <c r="F43" t="str">
        <f t="shared" si="22"/>
        <v/>
      </c>
      <c r="H43" s="1196" t="str">
        <f t="shared" si="7"/>
        <v/>
      </c>
      <c r="Q43" t="str">
        <f t="shared" si="23"/>
        <v>NO</v>
      </c>
      <c r="R43" t="str">
        <f t="shared" si="23"/>
        <v>NO</v>
      </c>
      <c r="S43" t="str">
        <f t="shared" si="23"/>
        <v>NO</v>
      </c>
      <c r="T43" t="str">
        <f t="shared" si="23"/>
        <v>NO</v>
      </c>
      <c r="U43" t="str">
        <f t="shared" si="23"/>
        <v>NO</v>
      </c>
      <c r="V43" t="str">
        <f t="shared" si="23"/>
        <v/>
      </c>
      <c r="W43" t="str">
        <f t="shared" si="9"/>
        <v/>
      </c>
      <c r="X43" s="1196" t="str">
        <f t="shared" si="10"/>
        <v/>
      </c>
      <c r="AG43" t="str">
        <f t="shared" si="24"/>
        <v>NO</v>
      </c>
      <c r="AH43" t="str">
        <f t="shared" si="24"/>
        <v>NO</v>
      </c>
      <c r="AI43" t="str">
        <f t="shared" si="24"/>
        <v>NO</v>
      </c>
      <c r="AJ43" t="str">
        <f t="shared" si="24"/>
        <v>NO</v>
      </c>
      <c r="AK43" t="str">
        <f t="shared" si="24"/>
        <v>NO</v>
      </c>
      <c r="AL43" t="str">
        <f t="shared" si="24"/>
        <v/>
      </c>
      <c r="AN43" s="1196" t="str">
        <f t="shared" si="12"/>
        <v/>
      </c>
      <c r="AW43" t="str">
        <f t="shared" si="25"/>
        <v>NO</v>
      </c>
      <c r="AX43" t="str">
        <f t="shared" si="25"/>
        <v>NO</v>
      </c>
      <c r="AY43" t="str">
        <f t="shared" si="25"/>
        <v>NO</v>
      </c>
      <c r="AZ43" t="str">
        <f t="shared" si="25"/>
        <v>NO</v>
      </c>
      <c r="BA43" t="str">
        <f t="shared" si="25"/>
        <v>NO</v>
      </c>
      <c r="BB43" t="str">
        <f t="shared" si="25"/>
        <v/>
      </c>
      <c r="BD43" s="1196" t="str">
        <f t="shared" si="14"/>
        <v/>
      </c>
      <c r="BQ43" s="1196" t="str">
        <f t="shared" si="15"/>
        <v/>
      </c>
    </row>
    <row r="44" spans="1:69" x14ac:dyDescent="0.35">
      <c r="A44" t="str">
        <f t="shared" si="22"/>
        <v>NO</v>
      </c>
      <c r="B44" t="str">
        <f t="shared" si="22"/>
        <v>NO</v>
      </c>
      <c r="C44" t="str">
        <f t="shared" si="22"/>
        <v>NO</v>
      </c>
      <c r="D44" t="str">
        <f t="shared" si="22"/>
        <v>NO</v>
      </c>
      <c r="E44" t="str">
        <f t="shared" si="22"/>
        <v>NO</v>
      </c>
      <c r="F44" t="str">
        <f t="shared" si="22"/>
        <v/>
      </c>
      <c r="H44" s="1196" t="str">
        <f t="shared" si="7"/>
        <v/>
      </c>
      <c r="Q44" t="str">
        <f t="shared" si="23"/>
        <v>NO</v>
      </c>
      <c r="R44" t="str">
        <f t="shared" si="23"/>
        <v>NO</v>
      </c>
      <c r="S44" t="str">
        <f t="shared" si="23"/>
        <v>NO</v>
      </c>
      <c r="T44" t="str">
        <f t="shared" si="23"/>
        <v>NO</v>
      </c>
      <c r="U44" t="str">
        <f t="shared" si="23"/>
        <v>NO</v>
      </c>
      <c r="V44" t="str">
        <f t="shared" si="23"/>
        <v/>
      </c>
      <c r="W44" t="str">
        <f t="shared" si="9"/>
        <v/>
      </c>
      <c r="X44" s="1196" t="str">
        <f t="shared" si="10"/>
        <v/>
      </c>
      <c r="AG44" t="str">
        <f t="shared" si="24"/>
        <v>NO</v>
      </c>
      <c r="AH44" t="str">
        <f t="shared" si="24"/>
        <v>NO</v>
      </c>
      <c r="AI44" t="str">
        <f t="shared" si="24"/>
        <v>NO</v>
      </c>
      <c r="AJ44" t="str">
        <f t="shared" si="24"/>
        <v>NO</v>
      </c>
      <c r="AK44" t="str">
        <f t="shared" si="24"/>
        <v>NO</v>
      </c>
      <c r="AL44" t="str">
        <f t="shared" si="24"/>
        <v/>
      </c>
      <c r="AN44" s="1196" t="str">
        <f t="shared" si="12"/>
        <v/>
      </c>
      <c r="AW44" t="str">
        <f t="shared" si="25"/>
        <v>NO</v>
      </c>
      <c r="AX44" t="str">
        <f t="shared" si="25"/>
        <v>NO</v>
      </c>
      <c r="AY44" t="str">
        <f t="shared" si="25"/>
        <v>NO</v>
      </c>
      <c r="AZ44" t="str">
        <f t="shared" si="25"/>
        <v>NO</v>
      </c>
      <c r="BA44" t="str">
        <f t="shared" si="25"/>
        <v>NO</v>
      </c>
      <c r="BB44" t="str">
        <f t="shared" si="25"/>
        <v/>
      </c>
      <c r="BD44" s="1196" t="str">
        <f t="shared" si="14"/>
        <v/>
      </c>
      <c r="BQ44" s="1196" t="str">
        <f t="shared" si="15"/>
        <v/>
      </c>
    </row>
    <row r="45" spans="1:69" x14ac:dyDescent="0.35">
      <c r="A45" t="str">
        <f t="shared" si="22"/>
        <v>NO</v>
      </c>
      <c r="B45" t="str">
        <f t="shared" si="22"/>
        <v>NO</v>
      </c>
      <c r="C45" t="str">
        <f t="shared" si="22"/>
        <v>NO</v>
      </c>
      <c r="D45" t="str">
        <f t="shared" si="22"/>
        <v>NO</v>
      </c>
      <c r="E45" t="str">
        <f t="shared" si="22"/>
        <v>NO</v>
      </c>
      <c r="F45" t="str">
        <f t="shared" si="22"/>
        <v/>
      </c>
      <c r="H45" s="1196" t="str">
        <f t="shared" si="7"/>
        <v/>
      </c>
      <c r="Q45" t="str">
        <f t="shared" si="23"/>
        <v>NO</v>
      </c>
      <c r="R45" t="str">
        <f t="shared" si="23"/>
        <v>NO</v>
      </c>
      <c r="S45" t="str">
        <f t="shared" si="23"/>
        <v>NO</v>
      </c>
      <c r="T45" t="str">
        <f t="shared" si="23"/>
        <v>NO</v>
      </c>
      <c r="U45" t="str">
        <f t="shared" si="23"/>
        <v>NO</v>
      </c>
      <c r="V45" t="str">
        <f t="shared" si="23"/>
        <v/>
      </c>
      <c r="W45" t="str">
        <f t="shared" si="9"/>
        <v/>
      </c>
      <c r="X45" s="1196" t="str">
        <f t="shared" si="10"/>
        <v/>
      </c>
      <c r="AG45" t="str">
        <f t="shared" si="24"/>
        <v>NO</v>
      </c>
      <c r="AH45" t="str">
        <f t="shared" si="24"/>
        <v>NO</v>
      </c>
      <c r="AI45" t="str">
        <f t="shared" si="24"/>
        <v>NO</v>
      </c>
      <c r="AJ45" t="str">
        <f t="shared" si="24"/>
        <v>NO</v>
      </c>
      <c r="AK45" t="str">
        <f t="shared" si="24"/>
        <v>NO</v>
      </c>
      <c r="AL45" t="str">
        <f t="shared" si="24"/>
        <v/>
      </c>
      <c r="AN45" s="1196" t="str">
        <f t="shared" si="12"/>
        <v/>
      </c>
      <c r="AW45" t="str">
        <f t="shared" si="25"/>
        <v>NO</v>
      </c>
      <c r="AX45" t="str">
        <f t="shared" si="25"/>
        <v>NO</v>
      </c>
      <c r="AY45" t="str">
        <f t="shared" si="25"/>
        <v>NO</v>
      </c>
      <c r="AZ45" t="str">
        <f t="shared" si="25"/>
        <v>NO</v>
      </c>
      <c r="BA45" t="str">
        <f t="shared" si="25"/>
        <v>NO</v>
      </c>
      <c r="BB45" t="str">
        <f t="shared" si="25"/>
        <v/>
      </c>
      <c r="BD45" s="1196" t="str">
        <f t="shared" si="14"/>
        <v/>
      </c>
      <c r="BQ45" s="1196" t="str">
        <f t="shared" si="15"/>
        <v/>
      </c>
    </row>
    <row r="46" spans="1:69" x14ac:dyDescent="0.35">
      <c r="A46" t="str">
        <f t="shared" si="22"/>
        <v>NO</v>
      </c>
      <c r="B46" t="str">
        <f t="shared" si="22"/>
        <v>NO</v>
      </c>
      <c r="C46" t="str">
        <f t="shared" si="22"/>
        <v>NO</v>
      </c>
      <c r="D46" t="str">
        <f t="shared" si="22"/>
        <v>NO</v>
      </c>
      <c r="E46" t="str">
        <f t="shared" si="22"/>
        <v>NO</v>
      </c>
      <c r="F46" t="str">
        <f t="shared" si="22"/>
        <v/>
      </c>
      <c r="H46" s="1196" t="str">
        <f t="shared" si="7"/>
        <v/>
      </c>
      <c r="Q46" t="str">
        <f t="shared" si="23"/>
        <v>NO</v>
      </c>
      <c r="R46" t="str">
        <f t="shared" si="23"/>
        <v>NO</v>
      </c>
      <c r="S46" t="str">
        <f t="shared" si="23"/>
        <v>NO</v>
      </c>
      <c r="T46" t="str">
        <f t="shared" si="23"/>
        <v>NO</v>
      </c>
      <c r="U46" t="str">
        <f t="shared" si="23"/>
        <v>NO</v>
      </c>
      <c r="V46" t="str">
        <f t="shared" si="23"/>
        <v/>
      </c>
      <c r="W46" t="str">
        <f t="shared" si="9"/>
        <v/>
      </c>
      <c r="X46" s="1196" t="str">
        <f t="shared" si="10"/>
        <v/>
      </c>
      <c r="AG46" t="str">
        <f t="shared" si="24"/>
        <v>NO</v>
      </c>
      <c r="AH46" t="str">
        <f t="shared" si="24"/>
        <v>NO</v>
      </c>
      <c r="AI46" t="str">
        <f t="shared" si="24"/>
        <v>NO</v>
      </c>
      <c r="AJ46" t="str">
        <f t="shared" si="24"/>
        <v>NO</v>
      </c>
      <c r="AK46" t="str">
        <f t="shared" si="24"/>
        <v>NO</v>
      </c>
      <c r="AL46" t="str">
        <f t="shared" si="24"/>
        <v/>
      </c>
      <c r="AN46" s="1196" t="str">
        <f t="shared" si="12"/>
        <v/>
      </c>
      <c r="AW46" t="str">
        <f t="shared" si="25"/>
        <v>NO</v>
      </c>
      <c r="AX46" t="str">
        <f t="shared" si="25"/>
        <v>NO</v>
      </c>
      <c r="AY46" t="str">
        <f t="shared" si="25"/>
        <v>NO</v>
      </c>
      <c r="AZ46" t="str">
        <f t="shared" si="25"/>
        <v>NO</v>
      </c>
      <c r="BA46" t="str">
        <f t="shared" si="25"/>
        <v>NO</v>
      </c>
      <c r="BB46" t="str">
        <f t="shared" si="25"/>
        <v/>
      </c>
      <c r="BD46" s="1196" t="str">
        <f t="shared" si="14"/>
        <v/>
      </c>
      <c r="BQ46" s="1196" t="str">
        <f t="shared" si="15"/>
        <v/>
      </c>
    </row>
    <row r="47" spans="1:69" x14ac:dyDescent="0.35">
      <c r="A47" t="str">
        <f t="shared" si="22"/>
        <v>NO</v>
      </c>
      <c r="B47" t="str">
        <f t="shared" si="22"/>
        <v>NO</v>
      </c>
      <c r="C47" t="str">
        <f t="shared" si="22"/>
        <v>NO</v>
      </c>
      <c r="D47" t="str">
        <f t="shared" si="22"/>
        <v>NO</v>
      </c>
      <c r="E47" t="str">
        <f t="shared" si="22"/>
        <v>NO</v>
      </c>
      <c r="F47" t="str">
        <f t="shared" si="22"/>
        <v/>
      </c>
      <c r="H47" s="1196" t="str">
        <f t="shared" si="7"/>
        <v/>
      </c>
      <c r="Q47" t="str">
        <f t="shared" si="23"/>
        <v>NO</v>
      </c>
      <c r="R47" t="str">
        <f t="shared" si="23"/>
        <v>NO</v>
      </c>
      <c r="S47" t="str">
        <f t="shared" si="23"/>
        <v>NO</v>
      </c>
      <c r="T47" t="str">
        <f t="shared" si="23"/>
        <v>NO</v>
      </c>
      <c r="U47" t="str">
        <f t="shared" si="23"/>
        <v>NO</v>
      </c>
      <c r="V47" t="str">
        <f t="shared" si="23"/>
        <v/>
      </c>
      <c r="W47" t="str">
        <f t="shared" si="9"/>
        <v/>
      </c>
      <c r="X47" s="1196" t="str">
        <f t="shared" si="10"/>
        <v/>
      </c>
      <c r="AG47" t="str">
        <f t="shared" si="24"/>
        <v>NO</v>
      </c>
      <c r="AH47" t="str">
        <f t="shared" si="24"/>
        <v>NO</v>
      </c>
      <c r="AI47" t="str">
        <f t="shared" si="24"/>
        <v>NO</v>
      </c>
      <c r="AJ47" t="str">
        <f t="shared" si="24"/>
        <v>NO</v>
      </c>
      <c r="AK47" t="str">
        <f t="shared" si="24"/>
        <v>NO</v>
      </c>
      <c r="AL47" t="str">
        <f t="shared" si="24"/>
        <v/>
      </c>
      <c r="AN47" s="1196" t="str">
        <f t="shared" si="12"/>
        <v/>
      </c>
      <c r="AW47" t="str">
        <f t="shared" si="25"/>
        <v>NO</v>
      </c>
      <c r="AX47" t="str">
        <f t="shared" si="25"/>
        <v>NO</v>
      </c>
      <c r="AY47" t="str">
        <f t="shared" si="25"/>
        <v>NO</v>
      </c>
      <c r="AZ47" t="str">
        <f t="shared" si="25"/>
        <v>NO</v>
      </c>
      <c r="BA47" t="str">
        <f t="shared" si="25"/>
        <v>NO</v>
      </c>
      <c r="BB47" t="str">
        <f t="shared" si="25"/>
        <v/>
      </c>
      <c r="BD47" s="1196" t="str">
        <f t="shared" si="14"/>
        <v/>
      </c>
      <c r="BQ47" s="1196" t="str">
        <f t="shared" si="15"/>
        <v/>
      </c>
    </row>
    <row r="48" spans="1:69" x14ac:dyDescent="0.35">
      <c r="A48" t="str">
        <f t="shared" si="22"/>
        <v>NO</v>
      </c>
      <c r="B48" t="str">
        <f t="shared" si="22"/>
        <v>NO</v>
      </c>
      <c r="C48" t="str">
        <f t="shared" si="22"/>
        <v>NO</v>
      </c>
      <c r="D48" t="str">
        <f t="shared" si="22"/>
        <v>NO</v>
      </c>
      <c r="E48" t="str">
        <f t="shared" si="22"/>
        <v>NO</v>
      </c>
      <c r="F48" t="str">
        <f t="shared" si="22"/>
        <v/>
      </c>
      <c r="H48" s="1196" t="str">
        <f t="shared" si="7"/>
        <v/>
      </c>
      <c r="Q48" t="str">
        <f t="shared" si="23"/>
        <v>NO</v>
      </c>
      <c r="R48" t="str">
        <f t="shared" si="23"/>
        <v>NO</v>
      </c>
      <c r="S48" t="str">
        <f t="shared" si="23"/>
        <v>NO</v>
      </c>
      <c r="T48" t="str">
        <f t="shared" si="23"/>
        <v>NO</v>
      </c>
      <c r="U48" t="str">
        <f t="shared" si="23"/>
        <v>NO</v>
      </c>
      <c r="V48" t="str">
        <f t="shared" si="23"/>
        <v/>
      </c>
      <c r="W48" t="str">
        <f t="shared" si="9"/>
        <v/>
      </c>
      <c r="X48" s="1196" t="str">
        <f t="shared" si="10"/>
        <v/>
      </c>
      <c r="AG48" t="str">
        <f t="shared" si="24"/>
        <v>NO</v>
      </c>
      <c r="AH48" t="str">
        <f t="shared" si="24"/>
        <v>NO</v>
      </c>
      <c r="AI48" t="str">
        <f t="shared" si="24"/>
        <v>NO</v>
      </c>
      <c r="AJ48" t="str">
        <f t="shared" si="24"/>
        <v>NO</v>
      </c>
      <c r="AK48" t="str">
        <f t="shared" si="24"/>
        <v>NO</v>
      </c>
      <c r="AL48" t="str">
        <f t="shared" si="24"/>
        <v/>
      </c>
      <c r="AN48" s="1196" t="str">
        <f t="shared" si="12"/>
        <v/>
      </c>
      <c r="AW48" t="str">
        <f t="shared" si="25"/>
        <v>NO</v>
      </c>
      <c r="AX48" t="str">
        <f t="shared" si="25"/>
        <v>NO</v>
      </c>
      <c r="AY48" t="str">
        <f t="shared" si="25"/>
        <v>NO</v>
      </c>
      <c r="AZ48" t="str">
        <f t="shared" si="25"/>
        <v>NO</v>
      </c>
      <c r="BA48" t="str">
        <f t="shared" si="25"/>
        <v>NO</v>
      </c>
      <c r="BB48" t="str">
        <f t="shared" si="25"/>
        <v/>
      </c>
      <c r="BD48" s="1196" t="str">
        <f t="shared" si="14"/>
        <v/>
      </c>
      <c r="BQ48" s="1196" t="str">
        <f t="shared" si="15"/>
        <v/>
      </c>
    </row>
    <row r="49" spans="1:69" x14ac:dyDescent="0.35">
      <c r="A49" t="str">
        <f t="shared" si="22"/>
        <v>NO</v>
      </c>
      <c r="B49" t="str">
        <f t="shared" si="22"/>
        <v>NO</v>
      </c>
      <c r="C49" t="str">
        <f t="shared" si="22"/>
        <v>NO</v>
      </c>
      <c r="D49" t="str">
        <f t="shared" si="22"/>
        <v>NO</v>
      </c>
      <c r="E49" t="str">
        <f t="shared" si="22"/>
        <v>NO</v>
      </c>
      <c r="F49" t="str">
        <f t="shared" si="22"/>
        <v/>
      </c>
      <c r="H49" s="1196" t="str">
        <f t="shared" si="7"/>
        <v/>
      </c>
      <c r="Q49" t="str">
        <f t="shared" si="23"/>
        <v>NO</v>
      </c>
      <c r="R49" t="str">
        <f t="shared" si="23"/>
        <v>NO</v>
      </c>
      <c r="S49" t="str">
        <f t="shared" si="23"/>
        <v>NO</v>
      </c>
      <c r="T49" t="str">
        <f t="shared" si="23"/>
        <v>NO</v>
      </c>
      <c r="U49" t="str">
        <f t="shared" si="23"/>
        <v>NO</v>
      </c>
      <c r="V49" t="str">
        <f t="shared" si="23"/>
        <v/>
      </c>
      <c r="W49" t="str">
        <f t="shared" si="9"/>
        <v/>
      </c>
      <c r="X49" s="1196" t="str">
        <f t="shared" si="10"/>
        <v/>
      </c>
      <c r="AG49" t="str">
        <f t="shared" si="24"/>
        <v>NO</v>
      </c>
      <c r="AH49" t="str">
        <f t="shared" si="24"/>
        <v>NO</v>
      </c>
      <c r="AI49" t="str">
        <f t="shared" si="24"/>
        <v>NO</v>
      </c>
      <c r="AJ49" t="str">
        <f t="shared" si="24"/>
        <v>NO</v>
      </c>
      <c r="AK49" t="str">
        <f t="shared" si="24"/>
        <v>NO</v>
      </c>
      <c r="AL49" t="str">
        <f t="shared" si="24"/>
        <v/>
      </c>
      <c r="AN49" s="1196" t="str">
        <f t="shared" si="12"/>
        <v/>
      </c>
      <c r="AW49" t="str">
        <f t="shared" si="25"/>
        <v>NO</v>
      </c>
      <c r="AX49" t="str">
        <f t="shared" si="25"/>
        <v>NO</v>
      </c>
      <c r="AY49" t="str">
        <f t="shared" si="25"/>
        <v>NO</v>
      </c>
      <c r="AZ49" t="str">
        <f t="shared" si="25"/>
        <v>NO</v>
      </c>
      <c r="BA49" t="str">
        <f t="shared" si="25"/>
        <v>NO</v>
      </c>
      <c r="BB49" t="str">
        <f t="shared" si="25"/>
        <v/>
      </c>
      <c r="BD49" s="1196" t="str">
        <f t="shared" si="14"/>
        <v/>
      </c>
      <c r="BQ49" s="1196" t="str">
        <f t="shared" si="15"/>
        <v/>
      </c>
    </row>
    <row r="50" spans="1:69" x14ac:dyDescent="0.35">
      <c r="A50" t="str">
        <f t="shared" si="22"/>
        <v>NO</v>
      </c>
      <c r="B50" t="str">
        <f t="shared" si="22"/>
        <v>NO</v>
      </c>
      <c r="C50" t="str">
        <f t="shared" si="22"/>
        <v>NO</v>
      </c>
      <c r="D50" t="str">
        <f t="shared" si="22"/>
        <v>NO</v>
      </c>
      <c r="E50" t="str">
        <f t="shared" si="22"/>
        <v>NO</v>
      </c>
      <c r="F50" t="str">
        <f t="shared" si="22"/>
        <v/>
      </c>
      <c r="H50" s="1196" t="str">
        <f t="shared" si="7"/>
        <v/>
      </c>
      <c r="Q50" t="str">
        <f t="shared" si="23"/>
        <v>NO</v>
      </c>
      <c r="R50" t="str">
        <f t="shared" si="23"/>
        <v>NO</v>
      </c>
      <c r="S50" t="str">
        <f t="shared" si="23"/>
        <v>NO</v>
      </c>
      <c r="T50" t="str">
        <f t="shared" si="23"/>
        <v>NO</v>
      </c>
      <c r="U50" t="str">
        <f t="shared" si="23"/>
        <v>NO</v>
      </c>
      <c r="V50" t="str">
        <f t="shared" si="23"/>
        <v/>
      </c>
      <c r="W50" t="str">
        <f t="shared" si="9"/>
        <v/>
      </c>
      <c r="X50" s="1196" t="str">
        <f t="shared" si="10"/>
        <v/>
      </c>
      <c r="AG50" t="str">
        <f t="shared" si="24"/>
        <v>NO</v>
      </c>
      <c r="AH50" t="str">
        <f t="shared" si="24"/>
        <v>NO</v>
      </c>
      <c r="AI50" t="str">
        <f t="shared" si="24"/>
        <v>NO</v>
      </c>
      <c r="AJ50" t="str">
        <f t="shared" si="24"/>
        <v>NO</v>
      </c>
      <c r="AK50" t="str">
        <f t="shared" si="24"/>
        <v>NO</v>
      </c>
      <c r="AL50" t="str">
        <f t="shared" si="24"/>
        <v/>
      </c>
      <c r="AN50" s="1196" t="str">
        <f t="shared" si="12"/>
        <v/>
      </c>
      <c r="AW50" t="str">
        <f t="shared" si="25"/>
        <v>NO</v>
      </c>
      <c r="AX50" t="str">
        <f t="shared" si="25"/>
        <v>NO</v>
      </c>
      <c r="AY50" t="str">
        <f t="shared" si="25"/>
        <v>NO</v>
      </c>
      <c r="AZ50" t="str">
        <f t="shared" si="25"/>
        <v>NO</v>
      </c>
      <c r="BA50" t="str">
        <f t="shared" si="25"/>
        <v>NO</v>
      </c>
      <c r="BB50" t="str">
        <f t="shared" si="25"/>
        <v/>
      </c>
      <c r="BD50" s="1196" t="str">
        <f t="shared" si="14"/>
        <v/>
      </c>
      <c r="BQ50" s="1196" t="str">
        <f t="shared" si="15"/>
        <v/>
      </c>
    </row>
    <row r="51" spans="1:69" x14ac:dyDescent="0.35">
      <c r="A51" t="str">
        <f t="shared" si="22"/>
        <v>NO</v>
      </c>
      <c r="B51" t="str">
        <f t="shared" si="22"/>
        <v>NO</v>
      </c>
      <c r="C51" t="str">
        <f t="shared" si="22"/>
        <v>NO</v>
      </c>
      <c r="D51" t="str">
        <f t="shared" si="22"/>
        <v>NO</v>
      </c>
      <c r="E51" t="str">
        <f t="shared" si="22"/>
        <v>NO</v>
      </c>
      <c r="F51" t="str">
        <f t="shared" si="22"/>
        <v/>
      </c>
      <c r="H51" s="1196" t="str">
        <f t="shared" si="7"/>
        <v/>
      </c>
      <c r="Q51" t="str">
        <f t="shared" si="23"/>
        <v>NO</v>
      </c>
      <c r="R51" t="str">
        <f t="shared" si="23"/>
        <v>NO</v>
      </c>
      <c r="S51" t="str">
        <f t="shared" si="23"/>
        <v>NO</v>
      </c>
      <c r="T51" t="str">
        <f t="shared" si="23"/>
        <v>NO</v>
      </c>
      <c r="U51" t="str">
        <f t="shared" si="23"/>
        <v>NO</v>
      </c>
      <c r="V51" t="str">
        <f t="shared" si="23"/>
        <v/>
      </c>
      <c r="W51" t="str">
        <f t="shared" si="9"/>
        <v/>
      </c>
      <c r="X51" s="1196" t="str">
        <f t="shared" si="10"/>
        <v/>
      </c>
      <c r="AG51" t="str">
        <f t="shared" si="24"/>
        <v>NO</v>
      </c>
      <c r="AH51" t="str">
        <f t="shared" si="24"/>
        <v>NO</v>
      </c>
      <c r="AI51" t="str">
        <f t="shared" si="24"/>
        <v>NO</v>
      </c>
      <c r="AJ51" t="str">
        <f t="shared" si="24"/>
        <v>NO</v>
      </c>
      <c r="AK51" t="str">
        <f t="shared" si="24"/>
        <v>NO</v>
      </c>
      <c r="AL51" t="str">
        <f t="shared" si="24"/>
        <v/>
      </c>
      <c r="AN51" s="1196" t="str">
        <f t="shared" si="12"/>
        <v/>
      </c>
      <c r="AW51" t="str">
        <f t="shared" si="25"/>
        <v>NO</v>
      </c>
      <c r="AX51" t="str">
        <f t="shared" si="25"/>
        <v>NO</v>
      </c>
      <c r="AY51" t="str">
        <f t="shared" si="25"/>
        <v>NO</v>
      </c>
      <c r="AZ51" t="str">
        <f t="shared" si="25"/>
        <v>NO</v>
      </c>
      <c r="BA51" t="str">
        <f t="shared" si="25"/>
        <v>NO</v>
      </c>
      <c r="BB51" t="str">
        <f t="shared" si="25"/>
        <v/>
      </c>
      <c r="BD51" s="1196" t="str">
        <f t="shared" si="14"/>
        <v/>
      </c>
      <c r="BQ51" s="1196" t="str">
        <f t="shared" si="15"/>
        <v/>
      </c>
    </row>
    <row r="52" spans="1:69" x14ac:dyDescent="0.35">
      <c r="A52" t="str">
        <f t="shared" si="22"/>
        <v>NO</v>
      </c>
      <c r="B52" t="str">
        <f t="shared" si="22"/>
        <v>NO</v>
      </c>
      <c r="C52" t="str">
        <f t="shared" si="22"/>
        <v>NO</v>
      </c>
      <c r="D52" t="str">
        <f t="shared" si="22"/>
        <v>NO</v>
      </c>
      <c r="E52" t="str">
        <f t="shared" si="22"/>
        <v>NO</v>
      </c>
      <c r="F52" t="str">
        <f t="shared" si="22"/>
        <v/>
      </c>
      <c r="H52" s="1196" t="str">
        <f t="shared" si="7"/>
        <v/>
      </c>
      <c r="Q52" t="str">
        <f t="shared" si="23"/>
        <v>NO</v>
      </c>
      <c r="R52" t="str">
        <f t="shared" si="23"/>
        <v>NO</v>
      </c>
      <c r="S52" t="str">
        <f t="shared" si="23"/>
        <v>NO</v>
      </c>
      <c r="T52" t="str">
        <f t="shared" si="23"/>
        <v>NO</v>
      </c>
      <c r="U52" t="str">
        <f t="shared" si="23"/>
        <v>NO</v>
      </c>
      <c r="V52" t="str">
        <f t="shared" si="23"/>
        <v/>
      </c>
      <c r="W52" t="str">
        <f t="shared" si="9"/>
        <v/>
      </c>
      <c r="X52" s="1196" t="str">
        <f t="shared" si="10"/>
        <v/>
      </c>
      <c r="AG52" t="str">
        <f t="shared" si="24"/>
        <v>NO</v>
      </c>
      <c r="AH52" t="str">
        <f t="shared" si="24"/>
        <v>NO</v>
      </c>
      <c r="AI52" t="str">
        <f t="shared" si="24"/>
        <v>NO</v>
      </c>
      <c r="AJ52" t="str">
        <f t="shared" si="24"/>
        <v>NO</v>
      </c>
      <c r="AK52" t="str">
        <f t="shared" si="24"/>
        <v>NO</v>
      </c>
      <c r="AL52" t="str">
        <f t="shared" si="24"/>
        <v/>
      </c>
      <c r="AN52" s="1196" t="str">
        <f t="shared" si="12"/>
        <v/>
      </c>
      <c r="AW52" t="str">
        <f t="shared" si="25"/>
        <v>NO</v>
      </c>
      <c r="AX52" t="str">
        <f t="shared" si="25"/>
        <v>NO</v>
      </c>
      <c r="AY52" t="str">
        <f t="shared" si="25"/>
        <v>NO</v>
      </c>
      <c r="AZ52" t="str">
        <f t="shared" si="25"/>
        <v>NO</v>
      </c>
      <c r="BA52" t="str">
        <f t="shared" si="25"/>
        <v>NO</v>
      </c>
      <c r="BB52" t="str">
        <f t="shared" si="25"/>
        <v/>
      </c>
      <c r="BD52" s="1196" t="str">
        <f t="shared" si="14"/>
        <v/>
      </c>
      <c r="BQ52" s="1196" t="str">
        <f t="shared" si="15"/>
        <v/>
      </c>
    </row>
    <row r="53" spans="1:69" x14ac:dyDescent="0.35">
      <c r="A53" t="str">
        <f t="shared" si="22"/>
        <v>NO</v>
      </c>
      <c r="B53" t="str">
        <f t="shared" si="22"/>
        <v>NO</v>
      </c>
      <c r="C53" t="str">
        <f t="shared" si="22"/>
        <v>NO</v>
      </c>
      <c r="D53" t="str">
        <f t="shared" si="22"/>
        <v>NO</v>
      </c>
      <c r="E53" t="str">
        <f t="shared" si="22"/>
        <v>NO</v>
      </c>
      <c r="F53" t="str">
        <f t="shared" si="22"/>
        <v/>
      </c>
      <c r="H53" s="1196" t="str">
        <f t="shared" si="7"/>
        <v/>
      </c>
      <c r="Q53" t="str">
        <f t="shared" si="23"/>
        <v>NO</v>
      </c>
      <c r="R53" t="str">
        <f t="shared" si="23"/>
        <v>NO</v>
      </c>
      <c r="S53" t="str">
        <f t="shared" si="23"/>
        <v>NO</v>
      </c>
      <c r="T53" t="str">
        <f t="shared" si="23"/>
        <v>NO</v>
      </c>
      <c r="U53" t="str">
        <f t="shared" si="23"/>
        <v>NO</v>
      </c>
      <c r="V53" t="str">
        <f t="shared" si="23"/>
        <v/>
      </c>
      <c r="W53" t="str">
        <f t="shared" si="9"/>
        <v/>
      </c>
      <c r="X53" s="1196" t="str">
        <f t="shared" si="10"/>
        <v/>
      </c>
      <c r="AG53" t="str">
        <f t="shared" si="24"/>
        <v>NO</v>
      </c>
      <c r="AH53" t="str">
        <f t="shared" si="24"/>
        <v>NO</v>
      </c>
      <c r="AI53" t="str">
        <f t="shared" si="24"/>
        <v>NO</v>
      </c>
      <c r="AJ53" t="str">
        <f t="shared" si="24"/>
        <v>NO</v>
      </c>
      <c r="AK53" t="str">
        <f t="shared" si="24"/>
        <v>NO</v>
      </c>
      <c r="AL53" t="str">
        <f t="shared" si="24"/>
        <v/>
      </c>
      <c r="AN53" s="1196" t="str">
        <f t="shared" si="12"/>
        <v/>
      </c>
      <c r="AW53" t="str">
        <f t="shared" si="25"/>
        <v>NO</v>
      </c>
      <c r="AX53" t="str">
        <f t="shared" si="25"/>
        <v>NO</v>
      </c>
      <c r="AY53" t="str">
        <f t="shared" si="25"/>
        <v>NO</v>
      </c>
      <c r="AZ53" t="str">
        <f t="shared" si="25"/>
        <v>NO</v>
      </c>
      <c r="BA53" t="str">
        <f t="shared" si="25"/>
        <v>NO</v>
      </c>
      <c r="BB53" t="str">
        <f t="shared" si="25"/>
        <v/>
      </c>
      <c r="BD53" s="1196" t="str">
        <f t="shared" si="14"/>
        <v/>
      </c>
      <c r="BQ53" s="1196" t="str">
        <f t="shared" si="15"/>
        <v/>
      </c>
    </row>
    <row r="54" spans="1:69" x14ac:dyDescent="0.35">
      <c r="A54" t="str">
        <f t="shared" si="22"/>
        <v>NO</v>
      </c>
      <c r="B54" t="str">
        <f t="shared" si="22"/>
        <v>NO</v>
      </c>
      <c r="C54" t="str">
        <f t="shared" si="22"/>
        <v>NO</v>
      </c>
      <c r="D54" t="str">
        <f t="shared" si="22"/>
        <v>NO</v>
      </c>
      <c r="E54" t="str">
        <f t="shared" si="22"/>
        <v>NO</v>
      </c>
      <c r="F54" t="str">
        <f t="shared" si="22"/>
        <v/>
      </c>
      <c r="H54" s="1196" t="str">
        <f t="shared" si="7"/>
        <v/>
      </c>
      <c r="Q54" t="str">
        <f t="shared" si="23"/>
        <v>NO</v>
      </c>
      <c r="R54" t="str">
        <f t="shared" si="23"/>
        <v>NO</v>
      </c>
      <c r="S54" t="str">
        <f t="shared" si="23"/>
        <v>NO</v>
      </c>
      <c r="T54" t="str">
        <f t="shared" si="23"/>
        <v>NO</v>
      </c>
      <c r="U54" t="str">
        <f t="shared" si="23"/>
        <v>NO</v>
      </c>
      <c r="V54" t="str">
        <f t="shared" si="23"/>
        <v/>
      </c>
      <c r="W54" t="str">
        <f t="shared" si="9"/>
        <v/>
      </c>
      <c r="X54" s="1196" t="str">
        <f t="shared" si="10"/>
        <v/>
      </c>
      <c r="AG54" t="str">
        <f t="shared" si="24"/>
        <v>NO</v>
      </c>
      <c r="AH54" t="str">
        <f t="shared" si="24"/>
        <v>NO</v>
      </c>
      <c r="AI54" t="str">
        <f t="shared" si="24"/>
        <v>NO</v>
      </c>
      <c r="AJ54" t="str">
        <f t="shared" si="24"/>
        <v>NO</v>
      </c>
      <c r="AK54" t="str">
        <f t="shared" si="24"/>
        <v>NO</v>
      </c>
      <c r="AL54" t="str">
        <f t="shared" si="24"/>
        <v/>
      </c>
      <c r="AN54" s="1196" t="str">
        <f t="shared" si="12"/>
        <v/>
      </c>
      <c r="AW54" t="str">
        <f t="shared" si="25"/>
        <v>NO</v>
      </c>
      <c r="AX54" t="str">
        <f t="shared" si="25"/>
        <v>NO</v>
      </c>
      <c r="AY54" t="str">
        <f t="shared" si="25"/>
        <v>NO</v>
      </c>
      <c r="AZ54" t="str">
        <f t="shared" si="25"/>
        <v>NO</v>
      </c>
      <c r="BA54" t="str">
        <f t="shared" si="25"/>
        <v>NO</v>
      </c>
      <c r="BB54" t="str">
        <f t="shared" si="25"/>
        <v/>
      </c>
      <c r="BD54" s="1196" t="str">
        <f t="shared" si="14"/>
        <v/>
      </c>
      <c r="BQ54" s="1196" t="str">
        <f t="shared" si="15"/>
        <v/>
      </c>
    </row>
    <row r="55" spans="1:69" x14ac:dyDescent="0.35">
      <c r="A55" t="str">
        <f t="shared" si="22"/>
        <v>NO</v>
      </c>
      <c r="B55" t="str">
        <f t="shared" si="22"/>
        <v>NO</v>
      </c>
      <c r="C55" t="str">
        <f t="shared" si="22"/>
        <v>NO</v>
      </c>
      <c r="D55" t="str">
        <f t="shared" si="22"/>
        <v>NO</v>
      </c>
      <c r="E55" t="str">
        <f t="shared" si="22"/>
        <v>NO</v>
      </c>
      <c r="F55" t="str">
        <f t="shared" si="22"/>
        <v/>
      </c>
      <c r="H55" s="1196" t="str">
        <f t="shared" si="7"/>
        <v/>
      </c>
      <c r="Q55" t="str">
        <f t="shared" si="23"/>
        <v>NO</v>
      </c>
      <c r="R55" t="str">
        <f t="shared" si="23"/>
        <v>NO</v>
      </c>
      <c r="S55" t="str">
        <f t="shared" si="23"/>
        <v>NO</v>
      </c>
      <c r="T55" t="str">
        <f t="shared" si="23"/>
        <v>NO</v>
      </c>
      <c r="U55" t="str">
        <f t="shared" si="23"/>
        <v>NO</v>
      </c>
      <c r="V55" t="str">
        <f t="shared" si="23"/>
        <v/>
      </c>
      <c r="W55" t="str">
        <f t="shared" si="9"/>
        <v/>
      </c>
      <c r="X55" s="1196" t="str">
        <f t="shared" si="10"/>
        <v/>
      </c>
      <c r="AG55" t="str">
        <f t="shared" si="24"/>
        <v>NO</v>
      </c>
      <c r="AH55" t="str">
        <f t="shared" si="24"/>
        <v>NO</v>
      </c>
      <c r="AI55" t="str">
        <f t="shared" si="24"/>
        <v>NO</v>
      </c>
      <c r="AJ55" t="str">
        <f t="shared" si="24"/>
        <v>NO</v>
      </c>
      <c r="AK55" t="str">
        <f t="shared" si="24"/>
        <v>NO</v>
      </c>
      <c r="AL55" t="str">
        <f t="shared" si="24"/>
        <v/>
      </c>
      <c r="AN55" s="1196" t="str">
        <f t="shared" si="12"/>
        <v/>
      </c>
      <c r="AW55" t="str">
        <f t="shared" si="25"/>
        <v>NO</v>
      </c>
      <c r="AX55" t="str">
        <f t="shared" si="25"/>
        <v>NO</v>
      </c>
      <c r="AY55" t="str">
        <f t="shared" si="25"/>
        <v>NO</v>
      </c>
      <c r="AZ55" t="str">
        <f t="shared" si="25"/>
        <v>NO</v>
      </c>
      <c r="BA55" t="str">
        <f t="shared" si="25"/>
        <v>NO</v>
      </c>
      <c r="BB55" t="str">
        <f t="shared" si="25"/>
        <v/>
      </c>
      <c r="BD55" s="1196" t="str">
        <f t="shared" si="14"/>
        <v/>
      </c>
      <c r="BQ55" s="1196" t="str">
        <f t="shared" si="15"/>
        <v/>
      </c>
    </row>
    <row r="56" spans="1:69" x14ac:dyDescent="0.35">
      <c r="A56" t="str">
        <f t="shared" si="22"/>
        <v>NO</v>
      </c>
      <c r="B56" t="str">
        <f t="shared" si="22"/>
        <v>NO</v>
      </c>
      <c r="C56" t="str">
        <f t="shared" si="22"/>
        <v>NO</v>
      </c>
      <c r="D56" t="str">
        <f t="shared" si="22"/>
        <v>NO</v>
      </c>
      <c r="E56" t="str">
        <f t="shared" si="22"/>
        <v>NO</v>
      </c>
      <c r="F56" t="str">
        <f t="shared" si="22"/>
        <v/>
      </c>
      <c r="H56" s="1196" t="str">
        <f t="shared" si="7"/>
        <v/>
      </c>
      <c r="Q56" t="str">
        <f t="shared" si="23"/>
        <v>NO</v>
      </c>
      <c r="R56" t="str">
        <f t="shared" si="23"/>
        <v>NO</v>
      </c>
      <c r="S56" t="str">
        <f t="shared" si="23"/>
        <v>NO</v>
      </c>
      <c r="T56" t="str">
        <f t="shared" si="23"/>
        <v>NO</v>
      </c>
      <c r="U56" t="str">
        <f t="shared" si="23"/>
        <v>NO</v>
      </c>
      <c r="V56" t="str">
        <f t="shared" si="23"/>
        <v/>
      </c>
      <c r="W56" t="str">
        <f t="shared" si="9"/>
        <v/>
      </c>
      <c r="X56" s="1196" t="str">
        <f t="shared" si="10"/>
        <v/>
      </c>
      <c r="AG56" t="str">
        <f t="shared" si="24"/>
        <v>NO</v>
      </c>
      <c r="AH56" t="str">
        <f t="shared" si="24"/>
        <v>NO</v>
      </c>
      <c r="AI56" t="str">
        <f t="shared" si="24"/>
        <v>NO</v>
      </c>
      <c r="AJ56" t="str">
        <f t="shared" si="24"/>
        <v>NO</v>
      </c>
      <c r="AK56" t="str">
        <f t="shared" si="24"/>
        <v>NO</v>
      </c>
      <c r="AL56" t="str">
        <f t="shared" si="24"/>
        <v/>
      </c>
      <c r="AN56" s="1196" t="str">
        <f t="shared" si="12"/>
        <v/>
      </c>
      <c r="AW56" t="str">
        <f t="shared" si="25"/>
        <v>NO</v>
      </c>
      <c r="AX56" t="str">
        <f t="shared" si="25"/>
        <v>NO</v>
      </c>
      <c r="AY56" t="str">
        <f t="shared" si="25"/>
        <v>NO</v>
      </c>
      <c r="AZ56" t="str">
        <f t="shared" si="25"/>
        <v>NO</v>
      </c>
      <c r="BA56" t="str">
        <f t="shared" si="25"/>
        <v>NO</v>
      </c>
      <c r="BB56" t="str">
        <f t="shared" si="25"/>
        <v/>
      </c>
      <c r="BD56" s="1196" t="str">
        <f t="shared" si="14"/>
        <v/>
      </c>
      <c r="BQ56" s="1196" t="str">
        <f t="shared" si="15"/>
        <v/>
      </c>
    </row>
    <row r="57" spans="1:69" x14ac:dyDescent="0.35">
      <c r="A57" t="str">
        <f t="shared" si="22"/>
        <v>NO</v>
      </c>
      <c r="B57" t="str">
        <f t="shared" si="22"/>
        <v>NO</v>
      </c>
      <c r="C57" t="str">
        <f t="shared" si="22"/>
        <v>NO</v>
      </c>
      <c r="D57" t="str">
        <f t="shared" si="22"/>
        <v>NO</v>
      </c>
      <c r="E57" t="str">
        <f t="shared" si="22"/>
        <v>NO</v>
      </c>
      <c r="F57" t="str">
        <f t="shared" si="22"/>
        <v/>
      </c>
      <c r="H57" s="1196" t="str">
        <f t="shared" si="7"/>
        <v/>
      </c>
      <c r="Q57" t="str">
        <f t="shared" si="23"/>
        <v>NO</v>
      </c>
      <c r="R57" t="str">
        <f t="shared" si="23"/>
        <v>NO</v>
      </c>
      <c r="S57" t="str">
        <f t="shared" si="23"/>
        <v>NO</v>
      </c>
      <c r="T57" t="str">
        <f t="shared" si="23"/>
        <v>NO</v>
      </c>
      <c r="U57" t="str">
        <f t="shared" si="23"/>
        <v>NO</v>
      </c>
      <c r="V57" t="str">
        <f t="shared" si="23"/>
        <v/>
      </c>
      <c r="W57" t="str">
        <f t="shared" si="9"/>
        <v/>
      </c>
      <c r="X57" s="1196" t="str">
        <f t="shared" si="10"/>
        <v/>
      </c>
      <c r="AG57" t="str">
        <f t="shared" si="24"/>
        <v>NO</v>
      </c>
      <c r="AH57" t="str">
        <f t="shared" si="24"/>
        <v>NO</v>
      </c>
      <c r="AI57" t="str">
        <f t="shared" si="24"/>
        <v>NO</v>
      </c>
      <c r="AJ57" t="str">
        <f t="shared" si="24"/>
        <v>NO</v>
      </c>
      <c r="AK57" t="str">
        <f t="shared" si="24"/>
        <v>NO</v>
      </c>
      <c r="AL57" t="str">
        <f t="shared" si="24"/>
        <v/>
      </c>
      <c r="AN57" s="1196" t="str">
        <f t="shared" si="12"/>
        <v/>
      </c>
      <c r="AW57" t="str">
        <f t="shared" si="25"/>
        <v>NO</v>
      </c>
      <c r="AX57" t="str">
        <f t="shared" si="25"/>
        <v>NO</v>
      </c>
      <c r="AY57" t="str">
        <f t="shared" si="25"/>
        <v>NO</v>
      </c>
      <c r="AZ57" t="str">
        <f t="shared" si="25"/>
        <v>NO</v>
      </c>
      <c r="BA57" t="str">
        <f t="shared" si="25"/>
        <v>NO</v>
      </c>
      <c r="BB57" t="str">
        <f t="shared" si="25"/>
        <v/>
      </c>
      <c r="BD57" s="1196" t="str">
        <f t="shared" si="14"/>
        <v/>
      </c>
      <c r="BQ57" s="1196" t="str">
        <f t="shared" si="15"/>
        <v/>
      </c>
    </row>
    <row r="58" spans="1:69" x14ac:dyDescent="0.35">
      <c r="A58" t="str">
        <f t="shared" si="22"/>
        <v>NO</v>
      </c>
      <c r="B58" t="str">
        <f t="shared" si="22"/>
        <v>NO</v>
      </c>
      <c r="C58" t="str">
        <f t="shared" si="22"/>
        <v>NO</v>
      </c>
      <c r="D58" t="str">
        <f t="shared" si="22"/>
        <v>NO</v>
      </c>
      <c r="E58" t="str">
        <f t="shared" si="22"/>
        <v>NO</v>
      </c>
      <c r="F58" t="str">
        <f t="shared" si="22"/>
        <v/>
      </c>
      <c r="H58" s="1196" t="str">
        <f t="shared" si="7"/>
        <v/>
      </c>
      <c r="Q58" t="str">
        <f t="shared" si="23"/>
        <v>NO</v>
      </c>
      <c r="R58" t="str">
        <f t="shared" si="23"/>
        <v>NO</v>
      </c>
      <c r="S58" t="str">
        <f t="shared" si="23"/>
        <v>NO</v>
      </c>
      <c r="T58" t="str">
        <f t="shared" si="23"/>
        <v>NO</v>
      </c>
      <c r="U58" t="str">
        <f t="shared" si="23"/>
        <v>NO</v>
      </c>
      <c r="V58" t="str">
        <f t="shared" si="23"/>
        <v/>
      </c>
      <c r="W58" t="str">
        <f t="shared" si="9"/>
        <v/>
      </c>
      <c r="X58" s="1196" t="str">
        <f t="shared" si="10"/>
        <v/>
      </c>
      <c r="AG58" t="str">
        <f t="shared" si="24"/>
        <v>NO</v>
      </c>
      <c r="AH58" t="str">
        <f t="shared" si="24"/>
        <v>NO</v>
      </c>
      <c r="AI58" t="str">
        <f t="shared" si="24"/>
        <v>NO</v>
      </c>
      <c r="AJ58" t="str">
        <f t="shared" si="24"/>
        <v>NO</v>
      </c>
      <c r="AK58" t="str">
        <f t="shared" si="24"/>
        <v>NO</v>
      </c>
      <c r="AL58" t="str">
        <f t="shared" si="24"/>
        <v/>
      </c>
      <c r="AN58" s="1196" t="str">
        <f t="shared" si="12"/>
        <v/>
      </c>
      <c r="AW58" t="str">
        <f t="shared" si="25"/>
        <v>NO</v>
      </c>
      <c r="AX58" t="str">
        <f t="shared" si="25"/>
        <v>NO</v>
      </c>
      <c r="AY58" t="str">
        <f t="shared" si="25"/>
        <v>NO</v>
      </c>
      <c r="AZ58" t="str">
        <f t="shared" si="25"/>
        <v>NO</v>
      </c>
      <c r="BA58" t="str">
        <f t="shared" si="25"/>
        <v>NO</v>
      </c>
      <c r="BB58" t="str">
        <f t="shared" si="25"/>
        <v/>
      </c>
      <c r="BD58" s="1196" t="str">
        <f t="shared" si="14"/>
        <v/>
      </c>
      <c r="BQ58" s="1196" t="str">
        <f t="shared" si="15"/>
        <v/>
      </c>
    </row>
    <row r="59" spans="1:69" x14ac:dyDescent="0.35">
      <c r="A59" t="str">
        <f t="shared" si="22"/>
        <v>NO</v>
      </c>
      <c r="B59" t="str">
        <f t="shared" si="22"/>
        <v>NO</v>
      </c>
      <c r="C59" t="str">
        <f t="shared" si="22"/>
        <v>NO</v>
      </c>
      <c r="D59" t="str">
        <f t="shared" si="22"/>
        <v>NO</v>
      </c>
      <c r="E59" t="str">
        <f t="shared" si="22"/>
        <v>NO</v>
      </c>
      <c r="F59" t="str">
        <f t="shared" si="22"/>
        <v/>
      </c>
      <c r="H59" s="1196" t="str">
        <f t="shared" si="7"/>
        <v/>
      </c>
      <c r="Q59" t="str">
        <f t="shared" si="23"/>
        <v>NO</v>
      </c>
      <c r="R59" t="str">
        <f t="shared" si="23"/>
        <v>NO</v>
      </c>
      <c r="S59" t="str">
        <f t="shared" si="23"/>
        <v>NO</v>
      </c>
      <c r="T59" t="str">
        <f t="shared" si="23"/>
        <v>NO</v>
      </c>
      <c r="U59" t="str">
        <f t="shared" si="23"/>
        <v>NO</v>
      </c>
      <c r="V59" t="str">
        <f t="shared" si="23"/>
        <v/>
      </c>
      <c r="W59" t="str">
        <f t="shared" si="9"/>
        <v/>
      </c>
      <c r="X59" s="1196" t="str">
        <f t="shared" si="10"/>
        <v/>
      </c>
      <c r="AG59" t="str">
        <f t="shared" si="24"/>
        <v>NO</v>
      </c>
      <c r="AH59" t="str">
        <f t="shared" si="24"/>
        <v>NO</v>
      </c>
      <c r="AI59" t="str">
        <f t="shared" si="24"/>
        <v>NO</v>
      </c>
      <c r="AJ59" t="str">
        <f t="shared" si="24"/>
        <v>NO</v>
      </c>
      <c r="AK59" t="str">
        <f t="shared" si="24"/>
        <v>NO</v>
      </c>
      <c r="AL59" t="str">
        <f t="shared" si="24"/>
        <v/>
      </c>
      <c r="AN59" s="1196" t="str">
        <f t="shared" si="12"/>
        <v/>
      </c>
      <c r="AW59" t="str">
        <f t="shared" si="25"/>
        <v>NO</v>
      </c>
      <c r="AX59" t="str">
        <f t="shared" si="25"/>
        <v>NO</v>
      </c>
      <c r="AY59" t="str">
        <f t="shared" si="25"/>
        <v>NO</v>
      </c>
      <c r="AZ59" t="str">
        <f t="shared" si="25"/>
        <v>NO</v>
      </c>
      <c r="BA59" t="str">
        <f t="shared" si="25"/>
        <v>NO</v>
      </c>
      <c r="BB59" t="str">
        <f t="shared" si="25"/>
        <v/>
      </c>
      <c r="BD59" s="1196" t="str">
        <f t="shared" si="14"/>
        <v/>
      </c>
      <c r="BQ59" s="1196" t="str">
        <f t="shared" si="15"/>
        <v/>
      </c>
    </row>
    <row r="60" spans="1:69" x14ac:dyDescent="0.35">
      <c r="A60" t="str">
        <f t="shared" si="22"/>
        <v>NO</v>
      </c>
      <c r="B60" t="str">
        <f t="shared" si="22"/>
        <v>NO</v>
      </c>
      <c r="C60" t="str">
        <f t="shared" si="22"/>
        <v>NO</v>
      </c>
      <c r="D60" t="str">
        <f t="shared" si="22"/>
        <v>NO</v>
      </c>
      <c r="E60" t="str">
        <f t="shared" si="22"/>
        <v>NO</v>
      </c>
      <c r="F60" t="str">
        <f t="shared" si="22"/>
        <v/>
      </c>
      <c r="H60" s="1196" t="str">
        <f t="shared" si="7"/>
        <v/>
      </c>
      <c r="Q60" t="str">
        <f t="shared" si="23"/>
        <v>NO</v>
      </c>
      <c r="R60" t="str">
        <f t="shared" si="23"/>
        <v>NO</v>
      </c>
      <c r="S60" t="str">
        <f t="shared" si="23"/>
        <v>NO</v>
      </c>
      <c r="T60" t="str">
        <f t="shared" si="23"/>
        <v>NO</v>
      </c>
      <c r="U60" t="str">
        <f t="shared" si="23"/>
        <v>NO</v>
      </c>
      <c r="V60" t="str">
        <f t="shared" si="23"/>
        <v/>
      </c>
      <c r="W60" t="str">
        <f t="shared" si="9"/>
        <v/>
      </c>
      <c r="X60" s="1196" t="str">
        <f t="shared" si="10"/>
        <v/>
      </c>
      <c r="AG60" t="str">
        <f t="shared" si="24"/>
        <v>NO</v>
      </c>
      <c r="AH60" t="str">
        <f t="shared" si="24"/>
        <v>NO</v>
      </c>
      <c r="AI60" t="str">
        <f t="shared" si="24"/>
        <v>NO</v>
      </c>
      <c r="AJ60" t="str">
        <f t="shared" si="24"/>
        <v>NO</v>
      </c>
      <c r="AK60" t="str">
        <f t="shared" si="24"/>
        <v>NO</v>
      </c>
      <c r="AL60" t="str">
        <f t="shared" si="24"/>
        <v/>
      </c>
      <c r="AN60" s="1196" t="str">
        <f t="shared" si="12"/>
        <v/>
      </c>
      <c r="AW60" t="str">
        <f t="shared" si="25"/>
        <v>NO</v>
      </c>
      <c r="AX60" t="str">
        <f t="shared" si="25"/>
        <v>NO</v>
      </c>
      <c r="AY60" t="str">
        <f t="shared" si="25"/>
        <v>NO</v>
      </c>
      <c r="AZ60" t="str">
        <f t="shared" si="25"/>
        <v>NO</v>
      </c>
      <c r="BA60" t="str">
        <f t="shared" si="25"/>
        <v>NO</v>
      </c>
      <c r="BB60" t="str">
        <f t="shared" si="25"/>
        <v/>
      </c>
      <c r="BD60" s="1196" t="str">
        <f t="shared" si="14"/>
        <v/>
      </c>
      <c r="BQ60" s="1196" t="str">
        <f t="shared" si="15"/>
        <v/>
      </c>
    </row>
    <row r="61" spans="1:69" x14ac:dyDescent="0.35">
      <c r="A61" t="str">
        <f t="shared" si="22"/>
        <v>NO</v>
      </c>
      <c r="B61" t="str">
        <f t="shared" si="22"/>
        <v>NO</v>
      </c>
      <c r="C61" t="str">
        <f t="shared" si="22"/>
        <v>NO</v>
      </c>
      <c r="D61" t="str">
        <f t="shared" si="22"/>
        <v>NO</v>
      </c>
      <c r="E61" t="str">
        <f t="shared" si="22"/>
        <v>NO</v>
      </c>
      <c r="F61" t="str">
        <f t="shared" si="22"/>
        <v/>
      </c>
      <c r="H61" s="1196" t="str">
        <f t="shared" si="7"/>
        <v/>
      </c>
      <c r="Q61" t="str">
        <f t="shared" si="23"/>
        <v>NO</v>
      </c>
      <c r="R61" t="str">
        <f t="shared" si="23"/>
        <v>NO</v>
      </c>
      <c r="S61" t="str">
        <f t="shared" si="23"/>
        <v>NO</v>
      </c>
      <c r="T61" t="str">
        <f t="shared" si="23"/>
        <v>NO</v>
      </c>
      <c r="U61" t="str">
        <f t="shared" si="23"/>
        <v>NO</v>
      </c>
      <c r="V61" t="str">
        <f t="shared" si="23"/>
        <v/>
      </c>
      <c r="W61" t="str">
        <f t="shared" si="9"/>
        <v/>
      </c>
      <c r="X61" s="1196" t="str">
        <f t="shared" si="10"/>
        <v/>
      </c>
      <c r="AG61" t="str">
        <f t="shared" si="24"/>
        <v>NO</v>
      </c>
      <c r="AH61" t="str">
        <f t="shared" si="24"/>
        <v>NO</v>
      </c>
      <c r="AI61" t="str">
        <f t="shared" si="24"/>
        <v>NO</v>
      </c>
      <c r="AJ61" t="str">
        <f t="shared" si="24"/>
        <v>NO</v>
      </c>
      <c r="AK61" t="str">
        <f t="shared" si="24"/>
        <v>NO</v>
      </c>
      <c r="AL61" t="str">
        <f t="shared" si="24"/>
        <v/>
      </c>
      <c r="AN61" s="1196" t="str">
        <f t="shared" si="12"/>
        <v/>
      </c>
      <c r="AW61" t="str">
        <f t="shared" si="25"/>
        <v>NO</v>
      </c>
      <c r="AX61" t="str">
        <f t="shared" si="25"/>
        <v>NO</v>
      </c>
      <c r="AY61" t="str">
        <f t="shared" si="25"/>
        <v>NO</v>
      </c>
      <c r="AZ61" t="str">
        <f t="shared" si="25"/>
        <v>NO</v>
      </c>
      <c r="BA61" t="str">
        <f t="shared" si="25"/>
        <v>NO</v>
      </c>
      <c r="BB61" t="str">
        <f t="shared" si="25"/>
        <v/>
      </c>
      <c r="BD61" s="1196" t="str">
        <f t="shared" si="14"/>
        <v/>
      </c>
      <c r="BQ61" s="1196" t="str">
        <f t="shared" si="15"/>
        <v/>
      </c>
    </row>
    <row r="62" spans="1:69" x14ac:dyDescent="0.35">
      <c r="A62" t="str">
        <f t="shared" si="22"/>
        <v>NO</v>
      </c>
      <c r="B62" t="str">
        <f t="shared" si="22"/>
        <v>NO</v>
      </c>
      <c r="C62" t="str">
        <f t="shared" si="22"/>
        <v>NO</v>
      </c>
      <c r="D62" t="str">
        <f t="shared" si="22"/>
        <v>NO</v>
      </c>
      <c r="E62" t="str">
        <f t="shared" si="22"/>
        <v>NO</v>
      </c>
      <c r="F62" t="str">
        <f t="shared" si="22"/>
        <v/>
      </c>
      <c r="H62" s="1196" t="str">
        <f t="shared" si="7"/>
        <v/>
      </c>
      <c r="Q62" t="str">
        <f t="shared" si="23"/>
        <v>NO</v>
      </c>
      <c r="R62" t="str">
        <f t="shared" si="23"/>
        <v>NO</v>
      </c>
      <c r="S62" t="str">
        <f t="shared" si="23"/>
        <v>NO</v>
      </c>
      <c r="T62" t="str">
        <f t="shared" si="23"/>
        <v>NO</v>
      </c>
      <c r="U62" t="str">
        <f t="shared" si="23"/>
        <v>NO</v>
      </c>
      <c r="V62" t="str">
        <f t="shared" si="23"/>
        <v/>
      </c>
      <c r="W62" t="str">
        <f t="shared" si="9"/>
        <v/>
      </c>
      <c r="X62" s="1196" t="str">
        <f t="shared" si="10"/>
        <v/>
      </c>
      <c r="AG62" t="str">
        <f t="shared" si="24"/>
        <v>NO</v>
      </c>
      <c r="AH62" t="str">
        <f t="shared" si="24"/>
        <v>NO</v>
      </c>
      <c r="AI62" t="str">
        <f t="shared" si="24"/>
        <v>NO</v>
      </c>
      <c r="AJ62" t="str">
        <f t="shared" si="24"/>
        <v>NO</v>
      </c>
      <c r="AK62" t="str">
        <f t="shared" si="24"/>
        <v>NO</v>
      </c>
      <c r="AL62" t="str">
        <f t="shared" si="24"/>
        <v/>
      </c>
      <c r="AN62" s="1196" t="str">
        <f t="shared" si="12"/>
        <v/>
      </c>
      <c r="AW62" t="str">
        <f t="shared" si="25"/>
        <v>NO</v>
      </c>
      <c r="AX62" t="str">
        <f t="shared" si="25"/>
        <v>NO</v>
      </c>
      <c r="AY62" t="str">
        <f t="shared" si="25"/>
        <v>NO</v>
      </c>
      <c r="AZ62" t="str">
        <f t="shared" si="25"/>
        <v>NO</v>
      </c>
      <c r="BA62" t="str">
        <f t="shared" si="25"/>
        <v>NO</v>
      </c>
      <c r="BB62" t="str">
        <f t="shared" si="25"/>
        <v/>
      </c>
      <c r="BD62" s="1196" t="str">
        <f t="shared" si="14"/>
        <v/>
      </c>
      <c r="BQ62" s="1196" t="str">
        <f t="shared" si="15"/>
        <v/>
      </c>
    </row>
    <row r="63" spans="1:69" x14ac:dyDescent="0.35">
      <c r="A63" t="str">
        <f t="shared" si="22"/>
        <v>NO</v>
      </c>
      <c r="B63" t="str">
        <f t="shared" si="22"/>
        <v>NO</v>
      </c>
      <c r="C63" t="str">
        <f t="shared" si="22"/>
        <v>NO</v>
      </c>
      <c r="D63" t="str">
        <f t="shared" si="22"/>
        <v>NO</v>
      </c>
      <c r="E63" t="str">
        <f t="shared" si="22"/>
        <v>NO</v>
      </c>
      <c r="F63" t="str">
        <f t="shared" si="22"/>
        <v/>
      </c>
      <c r="H63" s="1196" t="str">
        <f t="shared" si="7"/>
        <v/>
      </c>
      <c r="Q63" t="str">
        <f t="shared" si="23"/>
        <v>NO</v>
      </c>
      <c r="R63" t="str">
        <f t="shared" si="23"/>
        <v>NO</v>
      </c>
      <c r="S63" t="str">
        <f t="shared" si="23"/>
        <v>NO</v>
      </c>
      <c r="T63" t="str">
        <f t="shared" si="23"/>
        <v>NO</v>
      </c>
      <c r="U63" t="str">
        <f t="shared" si="23"/>
        <v>NO</v>
      </c>
      <c r="V63" t="str">
        <f t="shared" si="23"/>
        <v/>
      </c>
      <c r="W63" t="str">
        <f t="shared" si="9"/>
        <v/>
      </c>
      <c r="X63" s="1196" t="str">
        <f t="shared" si="10"/>
        <v/>
      </c>
      <c r="AG63" t="str">
        <f t="shared" si="24"/>
        <v>NO</v>
      </c>
      <c r="AH63" t="str">
        <f t="shared" si="24"/>
        <v>NO</v>
      </c>
      <c r="AI63" t="str">
        <f t="shared" si="24"/>
        <v>NO</v>
      </c>
      <c r="AJ63" t="str">
        <f t="shared" si="24"/>
        <v>NO</v>
      </c>
      <c r="AK63" t="str">
        <f t="shared" si="24"/>
        <v>NO</v>
      </c>
      <c r="AL63" t="str">
        <f t="shared" si="24"/>
        <v/>
      </c>
      <c r="AN63" s="1196" t="str">
        <f t="shared" si="12"/>
        <v/>
      </c>
      <c r="AW63" t="str">
        <f t="shared" si="25"/>
        <v>NO</v>
      </c>
      <c r="AX63" t="str">
        <f t="shared" si="25"/>
        <v>NO</v>
      </c>
      <c r="AY63" t="str">
        <f t="shared" si="25"/>
        <v>NO</v>
      </c>
      <c r="AZ63" t="str">
        <f t="shared" si="25"/>
        <v>NO</v>
      </c>
      <c r="BA63" t="str">
        <f t="shared" si="25"/>
        <v>NO</v>
      </c>
      <c r="BB63" t="str">
        <f t="shared" si="25"/>
        <v/>
      </c>
      <c r="BD63" s="1196" t="str">
        <f t="shared" si="14"/>
        <v/>
      </c>
      <c r="BQ63" s="1196" t="str">
        <f t="shared" si="15"/>
        <v/>
      </c>
    </row>
    <row r="64" spans="1:69" x14ac:dyDescent="0.35">
      <c r="A64" t="str">
        <f t="shared" si="22"/>
        <v>NO</v>
      </c>
      <c r="B64" t="str">
        <f t="shared" si="22"/>
        <v>NO</v>
      </c>
      <c r="C64" t="str">
        <f t="shared" si="22"/>
        <v>NO</v>
      </c>
      <c r="D64" t="str">
        <f t="shared" si="22"/>
        <v>NO</v>
      </c>
      <c r="E64" t="str">
        <f t="shared" si="22"/>
        <v>NO</v>
      </c>
      <c r="F64" t="str">
        <f t="shared" si="22"/>
        <v/>
      </c>
      <c r="H64" s="1196" t="str">
        <f t="shared" si="7"/>
        <v/>
      </c>
      <c r="Q64" t="str">
        <f t="shared" si="23"/>
        <v>NO</v>
      </c>
      <c r="R64" t="str">
        <f t="shared" si="23"/>
        <v>NO</v>
      </c>
      <c r="S64" t="str">
        <f t="shared" si="23"/>
        <v>NO</v>
      </c>
      <c r="T64" t="str">
        <f t="shared" si="23"/>
        <v>NO</v>
      </c>
      <c r="U64" t="str">
        <f t="shared" si="23"/>
        <v>NO</v>
      </c>
      <c r="V64" t="str">
        <f t="shared" si="23"/>
        <v/>
      </c>
      <c r="W64" t="str">
        <f t="shared" si="9"/>
        <v/>
      </c>
      <c r="X64" s="1196" t="str">
        <f t="shared" si="10"/>
        <v/>
      </c>
      <c r="AG64" t="str">
        <f t="shared" si="24"/>
        <v>NO</v>
      </c>
      <c r="AH64" t="str">
        <f t="shared" si="24"/>
        <v>NO</v>
      </c>
      <c r="AI64" t="str">
        <f t="shared" si="24"/>
        <v>NO</v>
      </c>
      <c r="AJ64" t="str">
        <f t="shared" si="24"/>
        <v>NO</v>
      </c>
      <c r="AK64" t="str">
        <f t="shared" si="24"/>
        <v>NO</v>
      </c>
      <c r="AL64" t="str">
        <f t="shared" si="24"/>
        <v/>
      </c>
      <c r="AN64" s="1196" t="str">
        <f t="shared" si="12"/>
        <v/>
      </c>
      <c r="AW64" t="str">
        <f t="shared" si="25"/>
        <v>NO</v>
      </c>
      <c r="AX64" t="str">
        <f t="shared" si="25"/>
        <v>NO</v>
      </c>
      <c r="AY64" t="str">
        <f t="shared" si="25"/>
        <v>NO</v>
      </c>
      <c r="AZ64" t="str">
        <f t="shared" si="25"/>
        <v>NO</v>
      </c>
      <c r="BA64" t="str">
        <f t="shared" si="25"/>
        <v>NO</v>
      </c>
      <c r="BB64" t="str">
        <f t="shared" si="25"/>
        <v/>
      </c>
      <c r="BD64" s="1196" t="str">
        <f t="shared" si="14"/>
        <v/>
      </c>
      <c r="BQ64" s="1196" t="str">
        <f t="shared" si="15"/>
        <v/>
      </c>
    </row>
    <row r="65" spans="1:69" x14ac:dyDescent="0.35">
      <c r="A65" t="str">
        <f t="shared" si="22"/>
        <v>NO</v>
      </c>
      <c r="B65" t="str">
        <f t="shared" si="22"/>
        <v>NO</v>
      </c>
      <c r="C65" t="str">
        <f t="shared" si="22"/>
        <v>NO</v>
      </c>
      <c r="D65" t="str">
        <f t="shared" si="22"/>
        <v>NO</v>
      </c>
      <c r="E65" t="str">
        <f t="shared" si="22"/>
        <v>NO</v>
      </c>
      <c r="F65" t="str">
        <f t="shared" si="22"/>
        <v/>
      </c>
      <c r="H65" s="1196" t="str">
        <f t="shared" si="7"/>
        <v/>
      </c>
      <c r="Q65" t="str">
        <f t="shared" si="23"/>
        <v>NO</v>
      </c>
      <c r="R65" t="str">
        <f t="shared" si="23"/>
        <v>NO</v>
      </c>
      <c r="S65" t="str">
        <f t="shared" si="23"/>
        <v>NO</v>
      </c>
      <c r="T65" t="str">
        <f t="shared" si="23"/>
        <v>NO</v>
      </c>
      <c r="U65" t="str">
        <f t="shared" si="23"/>
        <v>NO</v>
      </c>
      <c r="V65" t="str">
        <f t="shared" si="23"/>
        <v/>
      </c>
      <c r="W65" t="str">
        <f t="shared" si="9"/>
        <v/>
      </c>
      <c r="X65" s="1196" t="str">
        <f t="shared" si="10"/>
        <v/>
      </c>
      <c r="AG65" t="str">
        <f t="shared" si="24"/>
        <v>NO</v>
      </c>
      <c r="AH65" t="str">
        <f t="shared" si="24"/>
        <v>NO</v>
      </c>
      <c r="AI65" t="str">
        <f t="shared" si="24"/>
        <v>NO</v>
      </c>
      <c r="AJ65" t="str">
        <f t="shared" si="24"/>
        <v>NO</v>
      </c>
      <c r="AK65" t="str">
        <f t="shared" si="24"/>
        <v>NO</v>
      </c>
      <c r="AL65" t="str">
        <f t="shared" si="24"/>
        <v/>
      </c>
      <c r="AN65" s="1196" t="str">
        <f t="shared" si="12"/>
        <v/>
      </c>
      <c r="AW65" t="str">
        <f t="shared" si="25"/>
        <v>NO</v>
      </c>
      <c r="AX65" t="str">
        <f t="shared" si="25"/>
        <v>NO</v>
      </c>
      <c r="AY65" t="str">
        <f t="shared" si="25"/>
        <v>NO</v>
      </c>
      <c r="AZ65" t="str">
        <f t="shared" si="25"/>
        <v>NO</v>
      </c>
      <c r="BA65" t="str">
        <f t="shared" si="25"/>
        <v>NO</v>
      </c>
      <c r="BB65" t="str">
        <f t="shared" si="25"/>
        <v/>
      </c>
      <c r="BD65" s="1196" t="str">
        <f t="shared" si="14"/>
        <v/>
      </c>
      <c r="BQ65" s="1196" t="str">
        <f t="shared" si="15"/>
        <v/>
      </c>
    </row>
    <row r="66" spans="1:69" x14ac:dyDescent="0.35">
      <c r="A66" t="str">
        <f t="shared" si="22"/>
        <v>NO</v>
      </c>
      <c r="B66" t="str">
        <f t="shared" si="22"/>
        <v>NO</v>
      </c>
      <c r="C66" t="str">
        <f t="shared" si="22"/>
        <v>NO</v>
      </c>
      <c r="D66" t="str">
        <f t="shared" si="22"/>
        <v>NO</v>
      </c>
      <c r="E66" t="str">
        <f t="shared" si="22"/>
        <v>NO</v>
      </c>
      <c r="F66" t="str">
        <f t="shared" si="22"/>
        <v/>
      </c>
      <c r="H66" s="1196" t="str">
        <f t="shared" si="7"/>
        <v/>
      </c>
      <c r="Q66" t="str">
        <f t="shared" si="23"/>
        <v>NO</v>
      </c>
      <c r="R66" t="str">
        <f t="shared" si="23"/>
        <v>NO</v>
      </c>
      <c r="S66" t="str">
        <f t="shared" si="23"/>
        <v>NO</v>
      </c>
      <c r="T66" t="str">
        <f t="shared" si="23"/>
        <v>NO</v>
      </c>
      <c r="U66" t="str">
        <f t="shared" si="23"/>
        <v>NO</v>
      </c>
      <c r="V66" t="str">
        <f t="shared" si="23"/>
        <v/>
      </c>
      <c r="W66" t="str">
        <f t="shared" si="9"/>
        <v/>
      </c>
      <c r="X66" s="1196" t="str">
        <f t="shared" si="10"/>
        <v/>
      </c>
      <c r="AG66" t="str">
        <f t="shared" si="24"/>
        <v>NO</v>
      </c>
      <c r="AH66" t="str">
        <f t="shared" si="24"/>
        <v>NO</v>
      </c>
      <c r="AI66" t="str">
        <f t="shared" si="24"/>
        <v>NO</v>
      </c>
      <c r="AJ66" t="str">
        <f t="shared" si="24"/>
        <v>NO</v>
      </c>
      <c r="AK66" t="str">
        <f t="shared" si="24"/>
        <v>NO</v>
      </c>
      <c r="AL66" t="str">
        <f t="shared" si="24"/>
        <v/>
      </c>
      <c r="AN66" s="1196" t="str">
        <f t="shared" si="12"/>
        <v/>
      </c>
      <c r="AW66" t="str">
        <f t="shared" si="25"/>
        <v>NO</v>
      </c>
      <c r="AX66" t="str">
        <f t="shared" si="25"/>
        <v>NO</v>
      </c>
      <c r="AY66" t="str">
        <f t="shared" si="25"/>
        <v>NO</v>
      </c>
      <c r="AZ66" t="str">
        <f t="shared" si="25"/>
        <v>NO</v>
      </c>
      <c r="BA66" t="str">
        <f t="shared" si="25"/>
        <v>NO</v>
      </c>
      <c r="BB66" t="str">
        <f t="shared" si="25"/>
        <v/>
      </c>
      <c r="BD66" s="1196" t="str">
        <f t="shared" si="14"/>
        <v/>
      </c>
      <c r="BQ66" s="1196" t="str">
        <f t="shared" si="15"/>
        <v/>
      </c>
    </row>
    <row r="67" spans="1:69" x14ac:dyDescent="0.35">
      <c r="A67" t="str">
        <f t="shared" si="22"/>
        <v>NO</v>
      </c>
      <c r="B67" t="str">
        <f t="shared" si="22"/>
        <v>NO</v>
      </c>
      <c r="C67" t="str">
        <f t="shared" si="22"/>
        <v>NO</v>
      </c>
      <c r="D67" t="str">
        <f t="shared" si="22"/>
        <v>NO</v>
      </c>
      <c r="E67" t="str">
        <f t="shared" si="22"/>
        <v>NO</v>
      </c>
      <c r="F67" t="str">
        <f t="shared" si="22"/>
        <v/>
      </c>
      <c r="H67" s="1196" t="str">
        <f t="shared" si="7"/>
        <v/>
      </c>
      <c r="Q67" t="str">
        <f t="shared" si="23"/>
        <v>NO</v>
      </c>
      <c r="R67" t="str">
        <f t="shared" si="23"/>
        <v>NO</v>
      </c>
      <c r="S67" t="str">
        <f t="shared" si="23"/>
        <v>NO</v>
      </c>
      <c r="T67" t="str">
        <f t="shared" si="23"/>
        <v>NO</v>
      </c>
      <c r="U67" t="str">
        <f t="shared" si="23"/>
        <v>NO</v>
      </c>
      <c r="V67" t="str">
        <f t="shared" si="23"/>
        <v/>
      </c>
      <c r="W67" t="str">
        <f t="shared" si="9"/>
        <v/>
      </c>
      <c r="X67" s="1196" t="str">
        <f t="shared" si="10"/>
        <v/>
      </c>
      <c r="AG67" t="str">
        <f t="shared" si="24"/>
        <v>NO</v>
      </c>
      <c r="AH67" t="str">
        <f t="shared" si="24"/>
        <v>NO</v>
      </c>
      <c r="AI67" t="str">
        <f t="shared" si="24"/>
        <v>NO</v>
      </c>
      <c r="AJ67" t="str">
        <f t="shared" si="24"/>
        <v>NO</v>
      </c>
      <c r="AK67" t="str">
        <f t="shared" si="24"/>
        <v>NO</v>
      </c>
      <c r="AL67" t="str">
        <f t="shared" si="24"/>
        <v/>
      </c>
      <c r="AN67" s="1196" t="str">
        <f t="shared" si="12"/>
        <v/>
      </c>
      <c r="AW67" t="str">
        <f t="shared" si="25"/>
        <v>NO</v>
      </c>
      <c r="AX67" t="str">
        <f t="shared" si="25"/>
        <v>NO</v>
      </c>
      <c r="AY67" t="str">
        <f t="shared" si="25"/>
        <v>NO</v>
      </c>
      <c r="AZ67" t="str">
        <f t="shared" si="25"/>
        <v>NO</v>
      </c>
      <c r="BA67" t="str">
        <f t="shared" si="25"/>
        <v>NO</v>
      </c>
      <c r="BB67" t="str">
        <f t="shared" si="25"/>
        <v/>
      </c>
      <c r="BD67" s="1196" t="str">
        <f t="shared" si="14"/>
        <v/>
      </c>
      <c r="BQ67" s="1196" t="str">
        <f t="shared" si="15"/>
        <v/>
      </c>
    </row>
    <row r="68" spans="1:69" x14ac:dyDescent="0.35">
      <c r="A68" t="str">
        <f t="shared" ref="A68:F99" si="26">IFERROR(IF($K68=A$2,_xlfn.CONCAT($I68,$J68),"NO"),0)</f>
        <v>NO</v>
      </c>
      <c r="B68" t="str">
        <f t="shared" si="26"/>
        <v>NO</v>
      </c>
      <c r="C68" t="str">
        <f t="shared" si="26"/>
        <v>NO</v>
      </c>
      <c r="D68" t="str">
        <f t="shared" si="26"/>
        <v>NO</v>
      </c>
      <c r="E68" t="str">
        <f t="shared" si="26"/>
        <v>NO</v>
      </c>
      <c r="F68" t="str">
        <f t="shared" si="26"/>
        <v/>
      </c>
      <c r="H68" s="1196" t="str">
        <f t="shared" ref="H68:H125" si="27">_xlfn.CONCAT(I68,J68,)</f>
        <v/>
      </c>
      <c r="Q68" t="str">
        <f t="shared" ref="Q68:V99" si="28">IFERROR(IF($AA68=Q$2,_xlfn.CONCAT($Y68,$Z68),"NO"),0)</f>
        <v>NO</v>
      </c>
      <c r="R68" t="str">
        <f t="shared" si="28"/>
        <v>NO</v>
      </c>
      <c r="S68" t="str">
        <f t="shared" si="28"/>
        <v>NO</v>
      </c>
      <c r="T68" t="str">
        <f t="shared" si="28"/>
        <v>NO</v>
      </c>
      <c r="U68" t="str">
        <f t="shared" si="28"/>
        <v>NO</v>
      </c>
      <c r="V68" t="str">
        <f t="shared" si="28"/>
        <v/>
      </c>
      <c r="W68" t="str">
        <f t="shared" ref="W68:W125" si="29">IF(AV68=W67,_xlfn.CONCAT(AE68,AU68))</f>
        <v/>
      </c>
      <c r="X68" s="1196" t="str">
        <f t="shared" ref="X68:X125" si="30">_xlfn.CONCAT(Y68,Z68,)</f>
        <v/>
      </c>
      <c r="AG68" t="str">
        <f t="shared" ref="AG68:AL99" si="31">IFERROR(IF($AQ68=AG$2,_xlfn.CONCAT($AO68,$AP68),"NO"),0)</f>
        <v>NO</v>
      </c>
      <c r="AH68" t="str">
        <f t="shared" si="31"/>
        <v>NO</v>
      </c>
      <c r="AI68" t="str">
        <f t="shared" si="31"/>
        <v>NO</v>
      </c>
      <c r="AJ68" t="str">
        <f t="shared" si="31"/>
        <v>NO</v>
      </c>
      <c r="AK68" t="str">
        <f t="shared" si="31"/>
        <v>NO</v>
      </c>
      <c r="AL68" t="str">
        <f t="shared" si="31"/>
        <v/>
      </c>
      <c r="AN68" s="1196" t="str">
        <f t="shared" ref="AN68:AN125" si="32">_xlfn.CONCAT(AO68,AP68,)</f>
        <v/>
      </c>
      <c r="AW68" t="str">
        <f t="shared" ref="AW68:BB99" si="33">IFERROR(IF($BG68=AW$2,_xlfn.CONCAT($BE68,$BF68),"NO"),0)</f>
        <v>NO</v>
      </c>
      <c r="AX68" t="str">
        <f t="shared" si="33"/>
        <v>NO</v>
      </c>
      <c r="AY68" t="str">
        <f t="shared" si="33"/>
        <v>NO</v>
      </c>
      <c r="AZ68" t="str">
        <f t="shared" si="33"/>
        <v>NO</v>
      </c>
      <c r="BA68" t="str">
        <f t="shared" si="33"/>
        <v>NO</v>
      </c>
      <c r="BB68" t="str">
        <f t="shared" si="33"/>
        <v/>
      </c>
      <c r="BD68" s="1196" t="str">
        <f t="shared" ref="BD68:BD125" si="34">_xlfn.CONCAT(BE68,BF68,)</f>
        <v/>
      </c>
      <c r="BQ68" s="1196" t="str">
        <f t="shared" ref="BQ68:BQ125" si="35">+IF(BP68="si",_xlfn.CONCAT(BO68,BN68),"")</f>
        <v/>
      </c>
    </row>
    <row r="69" spans="1:69" x14ac:dyDescent="0.35">
      <c r="A69" t="str">
        <f t="shared" si="26"/>
        <v>NO</v>
      </c>
      <c r="B69" t="str">
        <f t="shared" si="26"/>
        <v>NO</v>
      </c>
      <c r="C69" t="str">
        <f t="shared" si="26"/>
        <v>NO</v>
      </c>
      <c r="D69" t="str">
        <f t="shared" si="26"/>
        <v>NO</v>
      </c>
      <c r="E69" t="str">
        <f t="shared" si="26"/>
        <v>NO</v>
      </c>
      <c r="F69" t="str">
        <f t="shared" si="26"/>
        <v/>
      </c>
      <c r="H69" s="1196" t="str">
        <f t="shared" si="27"/>
        <v/>
      </c>
      <c r="Q69" t="str">
        <f t="shared" si="28"/>
        <v>NO</v>
      </c>
      <c r="R69" t="str">
        <f t="shared" si="28"/>
        <v>NO</v>
      </c>
      <c r="S69" t="str">
        <f t="shared" si="28"/>
        <v>NO</v>
      </c>
      <c r="T69" t="str">
        <f t="shared" si="28"/>
        <v>NO</v>
      </c>
      <c r="U69" t="str">
        <f t="shared" si="28"/>
        <v>NO</v>
      </c>
      <c r="V69" t="str">
        <f t="shared" si="28"/>
        <v/>
      </c>
      <c r="W69" t="str">
        <f t="shared" si="29"/>
        <v/>
      </c>
      <c r="X69" s="1196" t="str">
        <f t="shared" si="30"/>
        <v/>
      </c>
      <c r="AG69" t="str">
        <f t="shared" si="31"/>
        <v>NO</v>
      </c>
      <c r="AH69" t="str">
        <f t="shared" si="31"/>
        <v>NO</v>
      </c>
      <c r="AI69" t="str">
        <f t="shared" si="31"/>
        <v>NO</v>
      </c>
      <c r="AJ69" t="str">
        <f t="shared" si="31"/>
        <v>NO</v>
      </c>
      <c r="AK69" t="str">
        <f t="shared" si="31"/>
        <v>NO</v>
      </c>
      <c r="AL69" t="str">
        <f t="shared" si="31"/>
        <v/>
      </c>
      <c r="AN69" s="1196" t="str">
        <f t="shared" si="32"/>
        <v/>
      </c>
      <c r="AW69" t="str">
        <f t="shared" si="33"/>
        <v>NO</v>
      </c>
      <c r="AX69" t="str">
        <f t="shared" si="33"/>
        <v>NO</v>
      </c>
      <c r="AY69" t="str">
        <f t="shared" si="33"/>
        <v>NO</v>
      </c>
      <c r="AZ69" t="str">
        <f t="shared" si="33"/>
        <v>NO</v>
      </c>
      <c r="BA69" t="str">
        <f t="shared" si="33"/>
        <v>NO</v>
      </c>
      <c r="BB69" t="str">
        <f t="shared" si="33"/>
        <v/>
      </c>
      <c r="BD69" s="1196" t="str">
        <f t="shared" si="34"/>
        <v/>
      </c>
      <c r="BQ69" s="1196" t="str">
        <f t="shared" si="35"/>
        <v/>
      </c>
    </row>
    <row r="70" spans="1:69" x14ac:dyDescent="0.35">
      <c r="A70" t="str">
        <f t="shared" si="26"/>
        <v>NO</v>
      </c>
      <c r="B70" t="str">
        <f t="shared" si="26"/>
        <v>NO</v>
      </c>
      <c r="C70" t="str">
        <f t="shared" si="26"/>
        <v>NO</v>
      </c>
      <c r="D70" t="str">
        <f t="shared" si="26"/>
        <v>NO</v>
      </c>
      <c r="E70" t="str">
        <f t="shared" si="26"/>
        <v>NO</v>
      </c>
      <c r="F70" t="str">
        <f t="shared" si="26"/>
        <v/>
      </c>
      <c r="H70" s="1196" t="str">
        <f t="shared" si="27"/>
        <v/>
      </c>
      <c r="Q70" t="str">
        <f t="shared" si="28"/>
        <v>NO</v>
      </c>
      <c r="R70" t="str">
        <f t="shared" si="28"/>
        <v>NO</v>
      </c>
      <c r="S70" t="str">
        <f t="shared" si="28"/>
        <v>NO</v>
      </c>
      <c r="T70" t="str">
        <f t="shared" si="28"/>
        <v>NO</v>
      </c>
      <c r="U70" t="str">
        <f t="shared" si="28"/>
        <v>NO</v>
      </c>
      <c r="V70" t="str">
        <f t="shared" si="28"/>
        <v/>
      </c>
      <c r="W70" t="str">
        <f t="shared" si="29"/>
        <v/>
      </c>
      <c r="X70" s="1196" t="str">
        <f t="shared" si="30"/>
        <v/>
      </c>
      <c r="AG70" t="str">
        <f t="shared" si="31"/>
        <v>NO</v>
      </c>
      <c r="AH70" t="str">
        <f t="shared" si="31"/>
        <v>NO</v>
      </c>
      <c r="AI70" t="str">
        <f t="shared" si="31"/>
        <v>NO</v>
      </c>
      <c r="AJ70" t="str">
        <f t="shared" si="31"/>
        <v>NO</v>
      </c>
      <c r="AK70" t="str">
        <f t="shared" si="31"/>
        <v>NO</v>
      </c>
      <c r="AL70" t="str">
        <f t="shared" si="31"/>
        <v/>
      </c>
      <c r="AN70" s="1196" t="str">
        <f t="shared" si="32"/>
        <v/>
      </c>
      <c r="AW70" t="str">
        <f t="shared" si="33"/>
        <v>NO</v>
      </c>
      <c r="AX70" t="str">
        <f t="shared" si="33"/>
        <v>NO</v>
      </c>
      <c r="AY70" t="str">
        <f t="shared" si="33"/>
        <v>NO</v>
      </c>
      <c r="AZ70" t="str">
        <f t="shared" si="33"/>
        <v>NO</v>
      </c>
      <c r="BA70" t="str">
        <f t="shared" si="33"/>
        <v>NO</v>
      </c>
      <c r="BB70" t="str">
        <f t="shared" si="33"/>
        <v/>
      </c>
      <c r="BD70" s="1196" t="str">
        <f t="shared" si="34"/>
        <v/>
      </c>
      <c r="BQ70" s="1196" t="str">
        <f t="shared" si="35"/>
        <v/>
      </c>
    </row>
    <row r="71" spans="1:69" x14ac:dyDescent="0.35">
      <c r="A71" t="str">
        <f t="shared" si="26"/>
        <v>NO</v>
      </c>
      <c r="B71" t="str">
        <f t="shared" si="26"/>
        <v>NO</v>
      </c>
      <c r="C71" t="str">
        <f t="shared" si="26"/>
        <v>NO</v>
      </c>
      <c r="D71" t="str">
        <f t="shared" si="26"/>
        <v>NO</v>
      </c>
      <c r="E71" t="str">
        <f t="shared" si="26"/>
        <v>NO</v>
      </c>
      <c r="F71" t="str">
        <f t="shared" si="26"/>
        <v/>
      </c>
      <c r="H71" s="1196" t="str">
        <f t="shared" si="27"/>
        <v/>
      </c>
      <c r="Q71" t="str">
        <f t="shared" si="28"/>
        <v>NO</v>
      </c>
      <c r="R71" t="str">
        <f t="shared" si="28"/>
        <v>NO</v>
      </c>
      <c r="S71" t="str">
        <f t="shared" si="28"/>
        <v>NO</v>
      </c>
      <c r="T71" t="str">
        <f t="shared" si="28"/>
        <v>NO</v>
      </c>
      <c r="U71" t="str">
        <f t="shared" si="28"/>
        <v>NO</v>
      </c>
      <c r="V71" t="str">
        <f t="shared" si="28"/>
        <v/>
      </c>
      <c r="W71" t="str">
        <f t="shared" si="29"/>
        <v/>
      </c>
      <c r="X71" s="1196" t="str">
        <f t="shared" si="30"/>
        <v/>
      </c>
      <c r="AG71" t="str">
        <f t="shared" si="31"/>
        <v>NO</v>
      </c>
      <c r="AH71" t="str">
        <f t="shared" si="31"/>
        <v>NO</v>
      </c>
      <c r="AI71" t="str">
        <f t="shared" si="31"/>
        <v>NO</v>
      </c>
      <c r="AJ71" t="str">
        <f t="shared" si="31"/>
        <v>NO</v>
      </c>
      <c r="AK71" t="str">
        <f t="shared" si="31"/>
        <v>NO</v>
      </c>
      <c r="AL71" t="str">
        <f t="shared" si="31"/>
        <v/>
      </c>
      <c r="AN71" s="1196" t="str">
        <f t="shared" si="32"/>
        <v/>
      </c>
      <c r="AW71" t="str">
        <f t="shared" si="33"/>
        <v>NO</v>
      </c>
      <c r="AX71" t="str">
        <f t="shared" si="33"/>
        <v>NO</v>
      </c>
      <c r="AY71" t="str">
        <f t="shared" si="33"/>
        <v>NO</v>
      </c>
      <c r="AZ71" t="str">
        <f t="shared" si="33"/>
        <v>NO</v>
      </c>
      <c r="BA71" t="str">
        <f t="shared" si="33"/>
        <v>NO</v>
      </c>
      <c r="BB71" t="str">
        <f t="shared" si="33"/>
        <v/>
      </c>
      <c r="BD71" s="1196" t="str">
        <f t="shared" si="34"/>
        <v/>
      </c>
      <c r="BQ71" s="1196" t="str">
        <f t="shared" si="35"/>
        <v/>
      </c>
    </row>
    <row r="72" spans="1:69" x14ac:dyDescent="0.35">
      <c r="A72" t="str">
        <f t="shared" si="26"/>
        <v>NO</v>
      </c>
      <c r="B72" t="str">
        <f t="shared" si="26"/>
        <v>NO</v>
      </c>
      <c r="C72" t="str">
        <f t="shared" si="26"/>
        <v>NO</v>
      </c>
      <c r="D72" t="str">
        <f t="shared" si="26"/>
        <v>NO</v>
      </c>
      <c r="E72" t="str">
        <f t="shared" si="26"/>
        <v>NO</v>
      </c>
      <c r="F72" t="str">
        <f t="shared" si="26"/>
        <v/>
      </c>
      <c r="H72" s="1196" t="str">
        <f t="shared" si="27"/>
        <v/>
      </c>
      <c r="Q72" t="str">
        <f t="shared" si="28"/>
        <v>NO</v>
      </c>
      <c r="R72" t="str">
        <f t="shared" si="28"/>
        <v>NO</v>
      </c>
      <c r="S72" t="str">
        <f t="shared" si="28"/>
        <v>NO</v>
      </c>
      <c r="T72" t="str">
        <f t="shared" si="28"/>
        <v>NO</v>
      </c>
      <c r="U72" t="str">
        <f t="shared" si="28"/>
        <v>NO</v>
      </c>
      <c r="V72" t="str">
        <f t="shared" si="28"/>
        <v/>
      </c>
      <c r="W72" t="str">
        <f t="shared" si="29"/>
        <v/>
      </c>
      <c r="X72" s="1196" t="str">
        <f t="shared" si="30"/>
        <v/>
      </c>
      <c r="AG72" t="str">
        <f t="shared" si="31"/>
        <v>NO</v>
      </c>
      <c r="AH72" t="str">
        <f t="shared" si="31"/>
        <v>NO</v>
      </c>
      <c r="AI72" t="str">
        <f t="shared" si="31"/>
        <v>NO</v>
      </c>
      <c r="AJ72" t="str">
        <f t="shared" si="31"/>
        <v>NO</v>
      </c>
      <c r="AK72" t="str">
        <f t="shared" si="31"/>
        <v>NO</v>
      </c>
      <c r="AL72" t="str">
        <f t="shared" si="31"/>
        <v/>
      </c>
      <c r="AN72" s="1196" t="str">
        <f t="shared" si="32"/>
        <v/>
      </c>
      <c r="AW72" t="str">
        <f t="shared" si="33"/>
        <v>NO</v>
      </c>
      <c r="AX72" t="str">
        <f t="shared" si="33"/>
        <v>NO</v>
      </c>
      <c r="AY72" t="str">
        <f t="shared" si="33"/>
        <v>NO</v>
      </c>
      <c r="AZ72" t="str">
        <f t="shared" si="33"/>
        <v>NO</v>
      </c>
      <c r="BA72" t="str">
        <f t="shared" si="33"/>
        <v>NO</v>
      </c>
      <c r="BB72" t="str">
        <f t="shared" si="33"/>
        <v/>
      </c>
      <c r="BD72" s="1196" t="str">
        <f t="shared" si="34"/>
        <v/>
      </c>
      <c r="BQ72" s="1196" t="str">
        <f t="shared" si="35"/>
        <v/>
      </c>
    </row>
    <row r="73" spans="1:69" x14ac:dyDescent="0.35">
      <c r="A73" t="str">
        <f t="shared" si="26"/>
        <v>NO</v>
      </c>
      <c r="B73" t="str">
        <f t="shared" si="26"/>
        <v>NO</v>
      </c>
      <c r="C73" t="str">
        <f t="shared" si="26"/>
        <v>NO</v>
      </c>
      <c r="D73" t="str">
        <f t="shared" si="26"/>
        <v>NO</v>
      </c>
      <c r="E73" t="str">
        <f t="shared" si="26"/>
        <v>NO</v>
      </c>
      <c r="F73" t="str">
        <f t="shared" si="26"/>
        <v/>
      </c>
      <c r="H73" s="1196" t="str">
        <f t="shared" si="27"/>
        <v/>
      </c>
      <c r="Q73" t="str">
        <f t="shared" si="28"/>
        <v>NO</v>
      </c>
      <c r="R73" t="str">
        <f t="shared" si="28"/>
        <v>NO</v>
      </c>
      <c r="S73" t="str">
        <f t="shared" si="28"/>
        <v>NO</v>
      </c>
      <c r="T73" t="str">
        <f t="shared" si="28"/>
        <v>NO</v>
      </c>
      <c r="U73" t="str">
        <f t="shared" si="28"/>
        <v>NO</v>
      </c>
      <c r="V73" t="str">
        <f t="shared" si="28"/>
        <v/>
      </c>
      <c r="W73" t="str">
        <f t="shared" si="29"/>
        <v/>
      </c>
      <c r="X73" s="1196" t="str">
        <f t="shared" si="30"/>
        <v/>
      </c>
      <c r="AG73" t="str">
        <f t="shared" si="31"/>
        <v>NO</v>
      </c>
      <c r="AH73" t="str">
        <f t="shared" si="31"/>
        <v>NO</v>
      </c>
      <c r="AI73" t="str">
        <f t="shared" si="31"/>
        <v>NO</v>
      </c>
      <c r="AJ73" t="str">
        <f t="shared" si="31"/>
        <v>NO</v>
      </c>
      <c r="AK73" t="str">
        <f t="shared" si="31"/>
        <v>NO</v>
      </c>
      <c r="AL73" t="str">
        <f t="shared" si="31"/>
        <v/>
      </c>
      <c r="AN73" s="1196" t="str">
        <f t="shared" si="32"/>
        <v/>
      </c>
      <c r="AW73" t="str">
        <f t="shared" si="33"/>
        <v>NO</v>
      </c>
      <c r="AX73" t="str">
        <f t="shared" si="33"/>
        <v>NO</v>
      </c>
      <c r="AY73" t="str">
        <f t="shared" si="33"/>
        <v>NO</v>
      </c>
      <c r="AZ73" t="str">
        <f t="shared" si="33"/>
        <v>NO</v>
      </c>
      <c r="BA73" t="str">
        <f t="shared" si="33"/>
        <v>NO</v>
      </c>
      <c r="BB73" t="str">
        <f t="shared" si="33"/>
        <v/>
      </c>
      <c r="BD73" s="1196" t="str">
        <f t="shared" si="34"/>
        <v/>
      </c>
      <c r="BQ73" s="1196" t="str">
        <f t="shared" si="35"/>
        <v/>
      </c>
    </row>
    <row r="74" spans="1:69" x14ac:dyDescent="0.35">
      <c r="A74" t="str">
        <f t="shared" si="26"/>
        <v>NO</v>
      </c>
      <c r="B74" t="str">
        <f t="shared" si="26"/>
        <v>NO</v>
      </c>
      <c r="C74" t="str">
        <f t="shared" si="26"/>
        <v>NO</v>
      </c>
      <c r="D74" t="str">
        <f t="shared" si="26"/>
        <v>NO</v>
      </c>
      <c r="E74" t="str">
        <f t="shared" si="26"/>
        <v>NO</v>
      </c>
      <c r="F74" t="str">
        <f t="shared" si="26"/>
        <v/>
      </c>
      <c r="H74" s="1196" t="str">
        <f t="shared" si="27"/>
        <v/>
      </c>
      <c r="Q74" t="str">
        <f t="shared" si="28"/>
        <v>NO</v>
      </c>
      <c r="R74" t="str">
        <f t="shared" si="28"/>
        <v>NO</v>
      </c>
      <c r="S74" t="str">
        <f t="shared" si="28"/>
        <v>NO</v>
      </c>
      <c r="T74" t="str">
        <f t="shared" si="28"/>
        <v>NO</v>
      </c>
      <c r="U74" t="str">
        <f t="shared" si="28"/>
        <v>NO</v>
      </c>
      <c r="V74" t="str">
        <f t="shared" si="28"/>
        <v/>
      </c>
      <c r="W74" t="str">
        <f t="shared" si="29"/>
        <v/>
      </c>
      <c r="X74" s="1196" t="str">
        <f t="shared" si="30"/>
        <v/>
      </c>
      <c r="AG74" t="str">
        <f t="shared" si="31"/>
        <v>NO</v>
      </c>
      <c r="AH74" t="str">
        <f t="shared" si="31"/>
        <v>NO</v>
      </c>
      <c r="AI74" t="str">
        <f t="shared" si="31"/>
        <v>NO</v>
      </c>
      <c r="AJ74" t="str">
        <f t="shared" si="31"/>
        <v>NO</v>
      </c>
      <c r="AK74" t="str">
        <f t="shared" si="31"/>
        <v>NO</v>
      </c>
      <c r="AL74" t="str">
        <f t="shared" si="31"/>
        <v/>
      </c>
      <c r="AN74" s="1196" t="str">
        <f t="shared" si="32"/>
        <v/>
      </c>
      <c r="AW74" t="str">
        <f t="shared" si="33"/>
        <v>NO</v>
      </c>
      <c r="AX74" t="str">
        <f t="shared" si="33"/>
        <v>NO</v>
      </c>
      <c r="AY74" t="str">
        <f t="shared" si="33"/>
        <v>NO</v>
      </c>
      <c r="AZ74" t="str">
        <f t="shared" si="33"/>
        <v>NO</v>
      </c>
      <c r="BA74" t="str">
        <f t="shared" si="33"/>
        <v>NO</v>
      </c>
      <c r="BB74" t="str">
        <f t="shared" si="33"/>
        <v/>
      </c>
      <c r="BD74" s="1196" t="str">
        <f t="shared" si="34"/>
        <v/>
      </c>
      <c r="BQ74" s="1196" t="str">
        <f t="shared" si="35"/>
        <v/>
      </c>
    </row>
    <row r="75" spans="1:69" x14ac:dyDescent="0.35">
      <c r="A75" t="str">
        <f t="shared" si="26"/>
        <v>NO</v>
      </c>
      <c r="B75" t="str">
        <f t="shared" si="26"/>
        <v>NO</v>
      </c>
      <c r="C75" t="str">
        <f t="shared" si="26"/>
        <v>NO</v>
      </c>
      <c r="D75" t="str">
        <f t="shared" si="26"/>
        <v>NO</v>
      </c>
      <c r="E75" t="str">
        <f t="shared" si="26"/>
        <v>NO</v>
      </c>
      <c r="F75" t="str">
        <f t="shared" si="26"/>
        <v/>
      </c>
      <c r="H75" s="1196" t="str">
        <f t="shared" si="27"/>
        <v/>
      </c>
      <c r="Q75" t="str">
        <f t="shared" si="28"/>
        <v>NO</v>
      </c>
      <c r="R75" t="str">
        <f t="shared" si="28"/>
        <v>NO</v>
      </c>
      <c r="S75" t="str">
        <f t="shared" si="28"/>
        <v>NO</v>
      </c>
      <c r="T75" t="str">
        <f t="shared" si="28"/>
        <v>NO</v>
      </c>
      <c r="U75" t="str">
        <f t="shared" si="28"/>
        <v>NO</v>
      </c>
      <c r="V75" t="str">
        <f t="shared" si="28"/>
        <v/>
      </c>
      <c r="W75" t="str">
        <f t="shared" si="29"/>
        <v/>
      </c>
      <c r="X75" s="1196" t="str">
        <f t="shared" si="30"/>
        <v/>
      </c>
      <c r="AG75" t="str">
        <f t="shared" si="31"/>
        <v>NO</v>
      </c>
      <c r="AH75" t="str">
        <f t="shared" si="31"/>
        <v>NO</v>
      </c>
      <c r="AI75" t="str">
        <f t="shared" si="31"/>
        <v>NO</v>
      </c>
      <c r="AJ75" t="str">
        <f t="shared" si="31"/>
        <v>NO</v>
      </c>
      <c r="AK75" t="str">
        <f t="shared" si="31"/>
        <v>NO</v>
      </c>
      <c r="AL75" t="str">
        <f t="shared" si="31"/>
        <v/>
      </c>
      <c r="AN75" s="1196" t="str">
        <f t="shared" si="32"/>
        <v/>
      </c>
      <c r="AW75" t="str">
        <f t="shared" si="33"/>
        <v>NO</v>
      </c>
      <c r="AX75" t="str">
        <f t="shared" si="33"/>
        <v>NO</v>
      </c>
      <c r="AY75" t="str">
        <f t="shared" si="33"/>
        <v>NO</v>
      </c>
      <c r="AZ75" t="str">
        <f t="shared" si="33"/>
        <v>NO</v>
      </c>
      <c r="BA75" t="str">
        <f t="shared" si="33"/>
        <v>NO</v>
      </c>
      <c r="BB75" t="str">
        <f t="shared" si="33"/>
        <v/>
      </c>
      <c r="BD75" s="1196" t="str">
        <f t="shared" si="34"/>
        <v/>
      </c>
      <c r="BQ75" s="1196" t="str">
        <f t="shared" si="35"/>
        <v/>
      </c>
    </row>
    <row r="76" spans="1:69" x14ac:dyDescent="0.35">
      <c r="A76" t="str">
        <f t="shared" si="26"/>
        <v>NO</v>
      </c>
      <c r="B76" t="str">
        <f t="shared" si="26"/>
        <v>NO</v>
      </c>
      <c r="C76" t="str">
        <f t="shared" si="26"/>
        <v>NO</v>
      </c>
      <c r="D76" t="str">
        <f t="shared" si="26"/>
        <v>NO</v>
      </c>
      <c r="E76" t="str">
        <f t="shared" si="26"/>
        <v>NO</v>
      </c>
      <c r="F76" t="str">
        <f t="shared" si="26"/>
        <v/>
      </c>
      <c r="H76" s="1196" t="str">
        <f t="shared" si="27"/>
        <v/>
      </c>
      <c r="Q76" t="str">
        <f t="shared" si="28"/>
        <v>NO</v>
      </c>
      <c r="R76" t="str">
        <f t="shared" si="28"/>
        <v>NO</v>
      </c>
      <c r="S76" t="str">
        <f t="shared" si="28"/>
        <v>NO</v>
      </c>
      <c r="T76" t="str">
        <f t="shared" si="28"/>
        <v>NO</v>
      </c>
      <c r="U76" t="str">
        <f t="shared" si="28"/>
        <v>NO</v>
      </c>
      <c r="V76" t="str">
        <f t="shared" si="28"/>
        <v/>
      </c>
      <c r="W76" t="str">
        <f t="shared" si="29"/>
        <v/>
      </c>
      <c r="X76" s="1196" t="str">
        <f t="shared" si="30"/>
        <v/>
      </c>
      <c r="AG76" t="str">
        <f t="shared" si="31"/>
        <v>NO</v>
      </c>
      <c r="AH76" t="str">
        <f t="shared" si="31"/>
        <v>NO</v>
      </c>
      <c r="AI76" t="str">
        <f t="shared" si="31"/>
        <v>NO</v>
      </c>
      <c r="AJ76" t="str">
        <f t="shared" si="31"/>
        <v>NO</v>
      </c>
      <c r="AK76" t="str">
        <f t="shared" si="31"/>
        <v>NO</v>
      </c>
      <c r="AL76" t="str">
        <f t="shared" si="31"/>
        <v/>
      </c>
      <c r="AN76" s="1196" t="str">
        <f t="shared" si="32"/>
        <v/>
      </c>
      <c r="AW76" t="str">
        <f t="shared" si="33"/>
        <v>NO</v>
      </c>
      <c r="AX76" t="str">
        <f t="shared" si="33"/>
        <v>NO</v>
      </c>
      <c r="AY76" t="str">
        <f t="shared" si="33"/>
        <v>NO</v>
      </c>
      <c r="AZ76" t="str">
        <f t="shared" si="33"/>
        <v>NO</v>
      </c>
      <c r="BA76" t="str">
        <f t="shared" si="33"/>
        <v>NO</v>
      </c>
      <c r="BB76" t="str">
        <f t="shared" si="33"/>
        <v/>
      </c>
      <c r="BD76" s="1196" t="str">
        <f t="shared" si="34"/>
        <v/>
      </c>
      <c r="BQ76" s="1196" t="str">
        <f t="shared" si="35"/>
        <v/>
      </c>
    </row>
    <row r="77" spans="1:69" x14ac:dyDescent="0.35">
      <c r="A77" t="str">
        <f t="shared" si="26"/>
        <v>NO</v>
      </c>
      <c r="B77" t="str">
        <f t="shared" si="26"/>
        <v>NO</v>
      </c>
      <c r="C77" t="str">
        <f t="shared" si="26"/>
        <v>NO</v>
      </c>
      <c r="D77" t="str">
        <f t="shared" si="26"/>
        <v>NO</v>
      </c>
      <c r="E77" t="str">
        <f t="shared" si="26"/>
        <v>NO</v>
      </c>
      <c r="F77" t="str">
        <f t="shared" si="26"/>
        <v/>
      </c>
      <c r="H77" s="1196" t="str">
        <f t="shared" si="27"/>
        <v/>
      </c>
      <c r="Q77" t="str">
        <f t="shared" si="28"/>
        <v>NO</v>
      </c>
      <c r="R77" t="str">
        <f t="shared" si="28"/>
        <v>NO</v>
      </c>
      <c r="S77" t="str">
        <f t="shared" si="28"/>
        <v>NO</v>
      </c>
      <c r="T77" t="str">
        <f t="shared" si="28"/>
        <v>NO</v>
      </c>
      <c r="U77" t="str">
        <f t="shared" si="28"/>
        <v>NO</v>
      </c>
      <c r="V77" t="str">
        <f t="shared" si="28"/>
        <v/>
      </c>
      <c r="W77" t="str">
        <f t="shared" si="29"/>
        <v/>
      </c>
      <c r="X77" s="1196" t="str">
        <f t="shared" si="30"/>
        <v/>
      </c>
      <c r="AG77" t="str">
        <f t="shared" si="31"/>
        <v>NO</v>
      </c>
      <c r="AH77" t="str">
        <f t="shared" si="31"/>
        <v>NO</v>
      </c>
      <c r="AI77" t="str">
        <f t="shared" si="31"/>
        <v>NO</v>
      </c>
      <c r="AJ77" t="str">
        <f t="shared" si="31"/>
        <v>NO</v>
      </c>
      <c r="AK77" t="str">
        <f t="shared" si="31"/>
        <v>NO</v>
      </c>
      <c r="AL77" t="str">
        <f t="shared" si="31"/>
        <v/>
      </c>
      <c r="AN77" s="1196" t="str">
        <f t="shared" si="32"/>
        <v/>
      </c>
      <c r="AW77" t="str">
        <f t="shared" si="33"/>
        <v>NO</v>
      </c>
      <c r="AX77" t="str">
        <f t="shared" si="33"/>
        <v>NO</v>
      </c>
      <c r="AY77" t="str">
        <f t="shared" si="33"/>
        <v>NO</v>
      </c>
      <c r="AZ77" t="str">
        <f t="shared" si="33"/>
        <v>NO</v>
      </c>
      <c r="BA77" t="str">
        <f t="shared" si="33"/>
        <v>NO</v>
      </c>
      <c r="BB77" t="str">
        <f t="shared" si="33"/>
        <v/>
      </c>
      <c r="BD77" s="1196" t="str">
        <f t="shared" si="34"/>
        <v/>
      </c>
      <c r="BQ77" s="1196" t="str">
        <f t="shared" si="35"/>
        <v/>
      </c>
    </row>
    <row r="78" spans="1:69" x14ac:dyDescent="0.35">
      <c r="A78" t="str">
        <f t="shared" si="26"/>
        <v>NO</v>
      </c>
      <c r="B78" t="str">
        <f t="shared" si="26"/>
        <v>NO</v>
      </c>
      <c r="C78" t="str">
        <f t="shared" si="26"/>
        <v>NO</v>
      </c>
      <c r="D78" t="str">
        <f t="shared" si="26"/>
        <v>NO</v>
      </c>
      <c r="E78" t="str">
        <f t="shared" si="26"/>
        <v>NO</v>
      </c>
      <c r="F78" t="str">
        <f t="shared" si="26"/>
        <v/>
      </c>
      <c r="H78" s="1196" t="str">
        <f t="shared" si="27"/>
        <v/>
      </c>
      <c r="Q78" t="str">
        <f t="shared" si="28"/>
        <v>NO</v>
      </c>
      <c r="R78" t="str">
        <f t="shared" si="28"/>
        <v>NO</v>
      </c>
      <c r="S78" t="str">
        <f t="shared" si="28"/>
        <v>NO</v>
      </c>
      <c r="T78" t="str">
        <f t="shared" si="28"/>
        <v>NO</v>
      </c>
      <c r="U78" t="str">
        <f t="shared" si="28"/>
        <v>NO</v>
      </c>
      <c r="V78" t="str">
        <f t="shared" si="28"/>
        <v/>
      </c>
      <c r="W78" t="str">
        <f t="shared" si="29"/>
        <v/>
      </c>
      <c r="X78" s="1196" t="str">
        <f t="shared" si="30"/>
        <v/>
      </c>
      <c r="AG78" t="str">
        <f t="shared" si="31"/>
        <v>NO</v>
      </c>
      <c r="AH78" t="str">
        <f t="shared" si="31"/>
        <v>NO</v>
      </c>
      <c r="AI78" t="str">
        <f t="shared" si="31"/>
        <v>NO</v>
      </c>
      <c r="AJ78" t="str">
        <f t="shared" si="31"/>
        <v>NO</v>
      </c>
      <c r="AK78" t="str">
        <f t="shared" si="31"/>
        <v>NO</v>
      </c>
      <c r="AL78" t="str">
        <f t="shared" si="31"/>
        <v/>
      </c>
      <c r="AN78" s="1196" t="str">
        <f t="shared" si="32"/>
        <v/>
      </c>
      <c r="AW78" t="str">
        <f t="shared" si="33"/>
        <v>NO</v>
      </c>
      <c r="AX78" t="str">
        <f t="shared" si="33"/>
        <v>NO</v>
      </c>
      <c r="AY78" t="str">
        <f t="shared" si="33"/>
        <v>NO</v>
      </c>
      <c r="AZ78" t="str">
        <f t="shared" si="33"/>
        <v>NO</v>
      </c>
      <c r="BA78" t="str">
        <f t="shared" si="33"/>
        <v>NO</v>
      </c>
      <c r="BB78" t="str">
        <f t="shared" si="33"/>
        <v/>
      </c>
      <c r="BD78" s="1196" t="str">
        <f t="shared" si="34"/>
        <v/>
      </c>
      <c r="BQ78" s="1196" t="str">
        <f t="shared" si="35"/>
        <v/>
      </c>
    </row>
    <row r="79" spans="1:69" x14ac:dyDescent="0.35">
      <c r="A79" t="str">
        <f t="shared" si="26"/>
        <v>NO</v>
      </c>
      <c r="B79" t="str">
        <f t="shared" si="26"/>
        <v>NO</v>
      </c>
      <c r="C79" t="str">
        <f t="shared" si="26"/>
        <v>NO</v>
      </c>
      <c r="D79" t="str">
        <f t="shared" si="26"/>
        <v>NO</v>
      </c>
      <c r="E79" t="str">
        <f t="shared" si="26"/>
        <v>NO</v>
      </c>
      <c r="F79" t="str">
        <f t="shared" si="26"/>
        <v/>
      </c>
      <c r="H79" s="1196" t="str">
        <f t="shared" si="27"/>
        <v/>
      </c>
      <c r="Q79" t="str">
        <f t="shared" si="28"/>
        <v>NO</v>
      </c>
      <c r="R79" t="str">
        <f t="shared" si="28"/>
        <v>NO</v>
      </c>
      <c r="S79" t="str">
        <f t="shared" si="28"/>
        <v>NO</v>
      </c>
      <c r="T79" t="str">
        <f t="shared" si="28"/>
        <v>NO</v>
      </c>
      <c r="U79" t="str">
        <f t="shared" si="28"/>
        <v>NO</v>
      </c>
      <c r="V79" t="str">
        <f t="shared" si="28"/>
        <v/>
      </c>
      <c r="W79" t="str">
        <f t="shared" si="29"/>
        <v/>
      </c>
      <c r="X79" s="1196" t="str">
        <f t="shared" si="30"/>
        <v/>
      </c>
      <c r="AG79" t="str">
        <f t="shared" si="31"/>
        <v>NO</v>
      </c>
      <c r="AH79" t="str">
        <f t="shared" si="31"/>
        <v>NO</v>
      </c>
      <c r="AI79" t="str">
        <f t="shared" si="31"/>
        <v>NO</v>
      </c>
      <c r="AJ79" t="str">
        <f t="shared" si="31"/>
        <v>NO</v>
      </c>
      <c r="AK79" t="str">
        <f t="shared" si="31"/>
        <v>NO</v>
      </c>
      <c r="AL79" t="str">
        <f t="shared" si="31"/>
        <v/>
      </c>
      <c r="AN79" s="1196" t="str">
        <f t="shared" si="32"/>
        <v/>
      </c>
      <c r="AW79" t="str">
        <f t="shared" si="33"/>
        <v>NO</v>
      </c>
      <c r="AX79" t="str">
        <f t="shared" si="33"/>
        <v>NO</v>
      </c>
      <c r="AY79" t="str">
        <f t="shared" si="33"/>
        <v>NO</v>
      </c>
      <c r="AZ79" t="str">
        <f t="shared" si="33"/>
        <v>NO</v>
      </c>
      <c r="BA79" t="str">
        <f t="shared" si="33"/>
        <v>NO</v>
      </c>
      <c r="BB79" t="str">
        <f t="shared" si="33"/>
        <v/>
      </c>
      <c r="BD79" s="1196" t="str">
        <f t="shared" si="34"/>
        <v/>
      </c>
      <c r="BQ79" s="1196" t="str">
        <f t="shared" si="35"/>
        <v/>
      </c>
    </row>
    <row r="80" spans="1:69" x14ac:dyDescent="0.35">
      <c r="A80" t="str">
        <f t="shared" si="26"/>
        <v>NO</v>
      </c>
      <c r="B80" t="str">
        <f t="shared" si="26"/>
        <v>NO</v>
      </c>
      <c r="C80" t="str">
        <f t="shared" si="26"/>
        <v>NO</v>
      </c>
      <c r="D80" t="str">
        <f t="shared" si="26"/>
        <v>NO</v>
      </c>
      <c r="E80" t="str">
        <f t="shared" si="26"/>
        <v>NO</v>
      </c>
      <c r="F80" t="str">
        <f t="shared" si="26"/>
        <v/>
      </c>
      <c r="H80" s="1196" t="str">
        <f t="shared" si="27"/>
        <v/>
      </c>
      <c r="Q80" t="str">
        <f t="shared" si="28"/>
        <v>NO</v>
      </c>
      <c r="R80" t="str">
        <f t="shared" si="28"/>
        <v>NO</v>
      </c>
      <c r="S80" t="str">
        <f t="shared" si="28"/>
        <v>NO</v>
      </c>
      <c r="T80" t="str">
        <f t="shared" si="28"/>
        <v>NO</v>
      </c>
      <c r="U80" t="str">
        <f t="shared" si="28"/>
        <v>NO</v>
      </c>
      <c r="V80" t="str">
        <f t="shared" si="28"/>
        <v/>
      </c>
      <c r="W80" t="str">
        <f t="shared" si="29"/>
        <v/>
      </c>
      <c r="X80" s="1196" t="str">
        <f t="shared" si="30"/>
        <v/>
      </c>
      <c r="AG80" t="str">
        <f t="shared" si="31"/>
        <v>NO</v>
      </c>
      <c r="AH80" t="str">
        <f t="shared" si="31"/>
        <v>NO</v>
      </c>
      <c r="AI80" t="str">
        <f t="shared" si="31"/>
        <v>NO</v>
      </c>
      <c r="AJ80" t="str">
        <f t="shared" si="31"/>
        <v>NO</v>
      </c>
      <c r="AK80" t="str">
        <f t="shared" si="31"/>
        <v>NO</v>
      </c>
      <c r="AL80" t="str">
        <f t="shared" si="31"/>
        <v/>
      </c>
      <c r="AN80" s="1196" t="str">
        <f t="shared" si="32"/>
        <v/>
      </c>
      <c r="AW80" t="str">
        <f t="shared" si="33"/>
        <v>NO</v>
      </c>
      <c r="AX80" t="str">
        <f t="shared" si="33"/>
        <v>NO</v>
      </c>
      <c r="AY80" t="str">
        <f t="shared" si="33"/>
        <v>NO</v>
      </c>
      <c r="AZ80" t="str">
        <f t="shared" si="33"/>
        <v>NO</v>
      </c>
      <c r="BA80" t="str">
        <f t="shared" si="33"/>
        <v>NO</v>
      </c>
      <c r="BB80" t="str">
        <f t="shared" si="33"/>
        <v/>
      </c>
      <c r="BD80" s="1196" t="str">
        <f t="shared" si="34"/>
        <v/>
      </c>
      <c r="BQ80" s="1196" t="str">
        <f t="shared" si="35"/>
        <v/>
      </c>
    </row>
    <row r="81" spans="1:69" x14ac:dyDescent="0.35">
      <c r="A81" t="str">
        <f t="shared" si="26"/>
        <v>NO</v>
      </c>
      <c r="B81" t="str">
        <f t="shared" si="26"/>
        <v>NO</v>
      </c>
      <c r="C81" t="str">
        <f t="shared" si="26"/>
        <v>NO</v>
      </c>
      <c r="D81" t="str">
        <f t="shared" si="26"/>
        <v>NO</v>
      </c>
      <c r="E81" t="str">
        <f t="shared" si="26"/>
        <v>NO</v>
      </c>
      <c r="F81" t="str">
        <f t="shared" si="26"/>
        <v/>
      </c>
      <c r="H81" s="1196" t="str">
        <f t="shared" si="27"/>
        <v/>
      </c>
      <c r="Q81" t="str">
        <f t="shared" si="28"/>
        <v>NO</v>
      </c>
      <c r="R81" t="str">
        <f t="shared" si="28"/>
        <v>NO</v>
      </c>
      <c r="S81" t="str">
        <f t="shared" si="28"/>
        <v>NO</v>
      </c>
      <c r="T81" t="str">
        <f t="shared" si="28"/>
        <v>NO</v>
      </c>
      <c r="U81" t="str">
        <f t="shared" si="28"/>
        <v>NO</v>
      </c>
      <c r="V81" t="str">
        <f t="shared" si="28"/>
        <v/>
      </c>
      <c r="W81" t="str">
        <f t="shared" si="29"/>
        <v/>
      </c>
      <c r="X81" s="1196" t="str">
        <f t="shared" si="30"/>
        <v/>
      </c>
      <c r="AG81" t="str">
        <f t="shared" si="31"/>
        <v>NO</v>
      </c>
      <c r="AH81" t="str">
        <f t="shared" si="31"/>
        <v>NO</v>
      </c>
      <c r="AI81" t="str">
        <f t="shared" si="31"/>
        <v>NO</v>
      </c>
      <c r="AJ81" t="str">
        <f t="shared" si="31"/>
        <v>NO</v>
      </c>
      <c r="AK81" t="str">
        <f t="shared" si="31"/>
        <v>NO</v>
      </c>
      <c r="AL81" t="str">
        <f t="shared" si="31"/>
        <v/>
      </c>
      <c r="AN81" s="1196" t="str">
        <f t="shared" si="32"/>
        <v/>
      </c>
      <c r="AW81" t="str">
        <f t="shared" si="33"/>
        <v>NO</v>
      </c>
      <c r="AX81" t="str">
        <f t="shared" si="33"/>
        <v>NO</v>
      </c>
      <c r="AY81" t="str">
        <f t="shared" si="33"/>
        <v>NO</v>
      </c>
      <c r="AZ81" t="str">
        <f t="shared" si="33"/>
        <v>NO</v>
      </c>
      <c r="BA81" t="str">
        <f t="shared" si="33"/>
        <v>NO</v>
      </c>
      <c r="BB81" t="str">
        <f t="shared" si="33"/>
        <v/>
      </c>
      <c r="BD81" s="1196" t="str">
        <f t="shared" si="34"/>
        <v/>
      </c>
      <c r="BQ81" s="1196" t="str">
        <f t="shared" si="35"/>
        <v/>
      </c>
    </row>
    <row r="82" spans="1:69" x14ac:dyDescent="0.35">
      <c r="A82" t="str">
        <f t="shared" si="26"/>
        <v>NO</v>
      </c>
      <c r="B82" t="str">
        <f t="shared" si="26"/>
        <v>NO</v>
      </c>
      <c r="C82" t="str">
        <f t="shared" si="26"/>
        <v>NO</v>
      </c>
      <c r="D82" t="str">
        <f t="shared" si="26"/>
        <v>NO</v>
      </c>
      <c r="E82" t="str">
        <f t="shared" si="26"/>
        <v>NO</v>
      </c>
      <c r="F82" t="str">
        <f t="shared" si="26"/>
        <v/>
      </c>
      <c r="H82" s="1196" t="str">
        <f t="shared" si="27"/>
        <v/>
      </c>
      <c r="Q82" t="str">
        <f t="shared" si="28"/>
        <v>NO</v>
      </c>
      <c r="R82" t="str">
        <f t="shared" si="28"/>
        <v>NO</v>
      </c>
      <c r="S82" t="str">
        <f t="shared" si="28"/>
        <v>NO</v>
      </c>
      <c r="T82" t="str">
        <f t="shared" si="28"/>
        <v>NO</v>
      </c>
      <c r="U82" t="str">
        <f t="shared" si="28"/>
        <v>NO</v>
      </c>
      <c r="V82" t="str">
        <f t="shared" si="28"/>
        <v/>
      </c>
      <c r="W82" t="str">
        <f t="shared" si="29"/>
        <v/>
      </c>
      <c r="X82" s="1196" t="str">
        <f t="shared" si="30"/>
        <v/>
      </c>
      <c r="AG82" t="str">
        <f t="shared" si="31"/>
        <v>NO</v>
      </c>
      <c r="AH82" t="str">
        <f t="shared" si="31"/>
        <v>NO</v>
      </c>
      <c r="AI82" t="str">
        <f t="shared" si="31"/>
        <v>NO</v>
      </c>
      <c r="AJ82" t="str">
        <f t="shared" si="31"/>
        <v>NO</v>
      </c>
      <c r="AK82" t="str">
        <f t="shared" si="31"/>
        <v>NO</v>
      </c>
      <c r="AL82" t="str">
        <f t="shared" si="31"/>
        <v/>
      </c>
      <c r="AN82" s="1196" t="str">
        <f t="shared" si="32"/>
        <v/>
      </c>
      <c r="AW82" t="str">
        <f t="shared" si="33"/>
        <v>NO</v>
      </c>
      <c r="AX82" t="str">
        <f t="shared" si="33"/>
        <v>NO</v>
      </c>
      <c r="AY82" t="str">
        <f t="shared" si="33"/>
        <v>NO</v>
      </c>
      <c r="AZ82" t="str">
        <f t="shared" si="33"/>
        <v>NO</v>
      </c>
      <c r="BA82" t="str">
        <f t="shared" si="33"/>
        <v>NO</v>
      </c>
      <c r="BB82" t="str">
        <f t="shared" si="33"/>
        <v/>
      </c>
      <c r="BD82" s="1196" t="str">
        <f t="shared" si="34"/>
        <v/>
      </c>
      <c r="BQ82" s="1196" t="str">
        <f t="shared" si="35"/>
        <v/>
      </c>
    </row>
    <row r="83" spans="1:69" x14ac:dyDescent="0.35">
      <c r="A83" t="str">
        <f t="shared" si="26"/>
        <v>NO</v>
      </c>
      <c r="B83" t="str">
        <f t="shared" si="26"/>
        <v>NO</v>
      </c>
      <c r="C83" t="str">
        <f t="shared" si="26"/>
        <v>NO</v>
      </c>
      <c r="D83" t="str">
        <f t="shared" si="26"/>
        <v>NO</v>
      </c>
      <c r="E83" t="str">
        <f t="shared" si="26"/>
        <v>NO</v>
      </c>
      <c r="F83" t="str">
        <f t="shared" si="26"/>
        <v/>
      </c>
      <c r="H83" s="1196" t="str">
        <f t="shared" si="27"/>
        <v/>
      </c>
      <c r="Q83" t="str">
        <f t="shared" si="28"/>
        <v>NO</v>
      </c>
      <c r="R83" t="str">
        <f t="shared" si="28"/>
        <v>NO</v>
      </c>
      <c r="S83" t="str">
        <f t="shared" si="28"/>
        <v>NO</v>
      </c>
      <c r="T83" t="str">
        <f t="shared" si="28"/>
        <v>NO</v>
      </c>
      <c r="U83" t="str">
        <f t="shared" si="28"/>
        <v>NO</v>
      </c>
      <c r="V83" t="str">
        <f t="shared" si="28"/>
        <v/>
      </c>
      <c r="W83" t="str">
        <f t="shared" si="29"/>
        <v/>
      </c>
      <c r="X83" s="1196" t="str">
        <f t="shared" si="30"/>
        <v/>
      </c>
      <c r="AG83" t="str">
        <f t="shared" si="31"/>
        <v>NO</v>
      </c>
      <c r="AH83" t="str">
        <f t="shared" si="31"/>
        <v>NO</v>
      </c>
      <c r="AI83" t="str">
        <f t="shared" si="31"/>
        <v>NO</v>
      </c>
      <c r="AJ83" t="str">
        <f t="shared" si="31"/>
        <v>NO</v>
      </c>
      <c r="AK83" t="str">
        <f t="shared" si="31"/>
        <v>NO</v>
      </c>
      <c r="AL83" t="str">
        <f t="shared" si="31"/>
        <v/>
      </c>
      <c r="AN83" s="1196" t="str">
        <f t="shared" si="32"/>
        <v/>
      </c>
      <c r="AW83" t="str">
        <f t="shared" si="33"/>
        <v>NO</v>
      </c>
      <c r="AX83" t="str">
        <f t="shared" si="33"/>
        <v>NO</v>
      </c>
      <c r="AY83" t="str">
        <f t="shared" si="33"/>
        <v>NO</v>
      </c>
      <c r="AZ83" t="str">
        <f t="shared" si="33"/>
        <v>NO</v>
      </c>
      <c r="BA83" t="str">
        <f t="shared" si="33"/>
        <v>NO</v>
      </c>
      <c r="BB83" t="str">
        <f t="shared" si="33"/>
        <v/>
      </c>
      <c r="BD83" s="1196" t="str">
        <f t="shared" si="34"/>
        <v/>
      </c>
      <c r="BQ83" s="1196" t="str">
        <f t="shared" si="35"/>
        <v/>
      </c>
    </row>
    <row r="84" spans="1:69" x14ac:dyDescent="0.35">
      <c r="A84" t="str">
        <f t="shared" si="26"/>
        <v>NO</v>
      </c>
      <c r="B84" t="str">
        <f t="shared" si="26"/>
        <v>NO</v>
      </c>
      <c r="C84" t="str">
        <f t="shared" si="26"/>
        <v>NO</v>
      </c>
      <c r="D84" t="str">
        <f t="shared" si="26"/>
        <v>NO</v>
      </c>
      <c r="E84" t="str">
        <f t="shared" si="26"/>
        <v>NO</v>
      </c>
      <c r="F84" t="str">
        <f t="shared" si="26"/>
        <v/>
      </c>
      <c r="H84" s="1196" t="str">
        <f t="shared" si="27"/>
        <v/>
      </c>
      <c r="Q84" t="str">
        <f t="shared" si="28"/>
        <v>NO</v>
      </c>
      <c r="R84" t="str">
        <f t="shared" si="28"/>
        <v>NO</v>
      </c>
      <c r="S84" t="str">
        <f t="shared" si="28"/>
        <v>NO</v>
      </c>
      <c r="T84" t="str">
        <f t="shared" si="28"/>
        <v>NO</v>
      </c>
      <c r="U84" t="str">
        <f t="shared" si="28"/>
        <v>NO</v>
      </c>
      <c r="V84" t="str">
        <f t="shared" si="28"/>
        <v/>
      </c>
      <c r="W84" t="str">
        <f t="shared" si="29"/>
        <v/>
      </c>
      <c r="X84" s="1196" t="str">
        <f t="shared" si="30"/>
        <v/>
      </c>
      <c r="AG84" t="str">
        <f t="shared" si="31"/>
        <v>NO</v>
      </c>
      <c r="AH84" t="str">
        <f t="shared" si="31"/>
        <v>NO</v>
      </c>
      <c r="AI84" t="str">
        <f t="shared" si="31"/>
        <v>NO</v>
      </c>
      <c r="AJ84" t="str">
        <f t="shared" si="31"/>
        <v>NO</v>
      </c>
      <c r="AK84" t="str">
        <f t="shared" si="31"/>
        <v>NO</v>
      </c>
      <c r="AL84" t="str">
        <f t="shared" si="31"/>
        <v/>
      </c>
      <c r="AN84" s="1196" t="str">
        <f t="shared" si="32"/>
        <v/>
      </c>
      <c r="AW84" t="str">
        <f t="shared" si="33"/>
        <v>NO</v>
      </c>
      <c r="AX84" t="str">
        <f t="shared" si="33"/>
        <v>NO</v>
      </c>
      <c r="AY84" t="str">
        <f t="shared" si="33"/>
        <v>NO</v>
      </c>
      <c r="AZ84" t="str">
        <f t="shared" si="33"/>
        <v>NO</v>
      </c>
      <c r="BA84" t="str">
        <f t="shared" si="33"/>
        <v>NO</v>
      </c>
      <c r="BB84" t="str">
        <f t="shared" si="33"/>
        <v/>
      </c>
      <c r="BD84" s="1196" t="str">
        <f t="shared" si="34"/>
        <v/>
      </c>
      <c r="BQ84" s="1196" t="str">
        <f t="shared" si="35"/>
        <v/>
      </c>
    </row>
    <row r="85" spans="1:69" x14ac:dyDescent="0.35">
      <c r="A85" t="str">
        <f t="shared" si="26"/>
        <v>NO</v>
      </c>
      <c r="B85" t="str">
        <f t="shared" si="26"/>
        <v>NO</v>
      </c>
      <c r="C85" t="str">
        <f t="shared" si="26"/>
        <v>NO</v>
      </c>
      <c r="D85" t="str">
        <f t="shared" si="26"/>
        <v>NO</v>
      </c>
      <c r="E85" t="str">
        <f t="shared" si="26"/>
        <v>NO</v>
      </c>
      <c r="F85" t="str">
        <f t="shared" si="26"/>
        <v/>
      </c>
      <c r="H85" s="1196" t="str">
        <f t="shared" si="27"/>
        <v/>
      </c>
      <c r="Q85" t="str">
        <f t="shared" si="28"/>
        <v>NO</v>
      </c>
      <c r="R85" t="str">
        <f t="shared" si="28"/>
        <v>NO</v>
      </c>
      <c r="S85" t="str">
        <f t="shared" si="28"/>
        <v>NO</v>
      </c>
      <c r="T85" t="str">
        <f t="shared" si="28"/>
        <v>NO</v>
      </c>
      <c r="U85" t="str">
        <f t="shared" si="28"/>
        <v>NO</v>
      </c>
      <c r="V85" t="str">
        <f t="shared" si="28"/>
        <v/>
      </c>
      <c r="W85" t="str">
        <f t="shared" si="29"/>
        <v/>
      </c>
      <c r="X85" s="1196" t="str">
        <f t="shared" si="30"/>
        <v/>
      </c>
      <c r="AG85" t="str">
        <f t="shared" si="31"/>
        <v>NO</v>
      </c>
      <c r="AH85" t="str">
        <f t="shared" si="31"/>
        <v>NO</v>
      </c>
      <c r="AI85" t="str">
        <f t="shared" si="31"/>
        <v>NO</v>
      </c>
      <c r="AJ85" t="str">
        <f t="shared" si="31"/>
        <v>NO</v>
      </c>
      <c r="AK85" t="str">
        <f t="shared" si="31"/>
        <v>NO</v>
      </c>
      <c r="AL85" t="str">
        <f t="shared" si="31"/>
        <v/>
      </c>
      <c r="AN85" s="1196" t="str">
        <f t="shared" si="32"/>
        <v/>
      </c>
      <c r="AW85" t="str">
        <f t="shared" si="33"/>
        <v>NO</v>
      </c>
      <c r="AX85" t="str">
        <f t="shared" si="33"/>
        <v>NO</v>
      </c>
      <c r="AY85" t="str">
        <f t="shared" si="33"/>
        <v>NO</v>
      </c>
      <c r="AZ85" t="str">
        <f t="shared" si="33"/>
        <v>NO</v>
      </c>
      <c r="BA85" t="str">
        <f t="shared" si="33"/>
        <v>NO</v>
      </c>
      <c r="BB85" t="str">
        <f t="shared" si="33"/>
        <v/>
      </c>
      <c r="BD85" s="1196" t="str">
        <f t="shared" si="34"/>
        <v/>
      </c>
      <c r="BQ85" s="1196" t="str">
        <f t="shared" si="35"/>
        <v/>
      </c>
    </row>
    <row r="86" spans="1:69" x14ac:dyDescent="0.35">
      <c r="A86" t="str">
        <f t="shared" si="26"/>
        <v>NO</v>
      </c>
      <c r="B86" t="str">
        <f t="shared" si="26"/>
        <v>NO</v>
      </c>
      <c r="C86" t="str">
        <f t="shared" si="26"/>
        <v>NO</v>
      </c>
      <c r="D86" t="str">
        <f t="shared" si="26"/>
        <v>NO</v>
      </c>
      <c r="E86" t="str">
        <f t="shared" si="26"/>
        <v>NO</v>
      </c>
      <c r="F86" t="str">
        <f t="shared" si="26"/>
        <v/>
      </c>
      <c r="H86" s="1196" t="str">
        <f t="shared" si="27"/>
        <v/>
      </c>
      <c r="Q86" t="str">
        <f t="shared" si="28"/>
        <v>NO</v>
      </c>
      <c r="R86" t="str">
        <f t="shared" si="28"/>
        <v>NO</v>
      </c>
      <c r="S86" t="str">
        <f t="shared" si="28"/>
        <v>NO</v>
      </c>
      <c r="T86" t="str">
        <f t="shared" si="28"/>
        <v>NO</v>
      </c>
      <c r="U86" t="str">
        <f t="shared" si="28"/>
        <v>NO</v>
      </c>
      <c r="V86" t="str">
        <f t="shared" si="28"/>
        <v/>
      </c>
      <c r="W86" t="str">
        <f t="shared" si="29"/>
        <v/>
      </c>
      <c r="X86" s="1196" t="str">
        <f t="shared" si="30"/>
        <v/>
      </c>
      <c r="AG86" t="str">
        <f t="shared" si="31"/>
        <v>NO</v>
      </c>
      <c r="AH86" t="str">
        <f t="shared" si="31"/>
        <v>NO</v>
      </c>
      <c r="AI86" t="str">
        <f t="shared" si="31"/>
        <v>NO</v>
      </c>
      <c r="AJ86" t="str">
        <f t="shared" si="31"/>
        <v>NO</v>
      </c>
      <c r="AK86" t="str">
        <f t="shared" si="31"/>
        <v>NO</v>
      </c>
      <c r="AL86" t="str">
        <f t="shared" si="31"/>
        <v/>
      </c>
      <c r="AN86" s="1196" t="str">
        <f t="shared" si="32"/>
        <v/>
      </c>
      <c r="AW86" t="str">
        <f t="shared" si="33"/>
        <v>NO</v>
      </c>
      <c r="AX86" t="str">
        <f t="shared" si="33"/>
        <v>NO</v>
      </c>
      <c r="AY86" t="str">
        <f t="shared" si="33"/>
        <v>NO</v>
      </c>
      <c r="AZ86" t="str">
        <f t="shared" si="33"/>
        <v>NO</v>
      </c>
      <c r="BA86" t="str">
        <f t="shared" si="33"/>
        <v>NO</v>
      </c>
      <c r="BB86" t="str">
        <f t="shared" si="33"/>
        <v/>
      </c>
      <c r="BD86" s="1196" t="str">
        <f t="shared" si="34"/>
        <v/>
      </c>
      <c r="BQ86" s="1196" t="str">
        <f t="shared" si="35"/>
        <v/>
      </c>
    </row>
    <row r="87" spans="1:69" x14ac:dyDescent="0.35">
      <c r="A87" t="str">
        <f t="shared" si="26"/>
        <v>NO</v>
      </c>
      <c r="B87" t="str">
        <f t="shared" si="26"/>
        <v>NO</v>
      </c>
      <c r="C87" t="str">
        <f t="shared" si="26"/>
        <v>NO</v>
      </c>
      <c r="D87" t="str">
        <f t="shared" si="26"/>
        <v>NO</v>
      </c>
      <c r="E87" t="str">
        <f t="shared" si="26"/>
        <v>NO</v>
      </c>
      <c r="F87" t="str">
        <f t="shared" si="26"/>
        <v/>
      </c>
      <c r="H87" s="1196" t="str">
        <f t="shared" si="27"/>
        <v/>
      </c>
      <c r="Q87" t="str">
        <f t="shared" si="28"/>
        <v>NO</v>
      </c>
      <c r="R87" t="str">
        <f t="shared" si="28"/>
        <v>NO</v>
      </c>
      <c r="S87" t="str">
        <f t="shared" si="28"/>
        <v>NO</v>
      </c>
      <c r="T87" t="str">
        <f t="shared" si="28"/>
        <v>NO</v>
      </c>
      <c r="U87" t="str">
        <f t="shared" si="28"/>
        <v>NO</v>
      </c>
      <c r="V87" t="str">
        <f t="shared" si="28"/>
        <v/>
      </c>
      <c r="W87" t="str">
        <f t="shared" si="29"/>
        <v/>
      </c>
      <c r="X87" s="1196" t="str">
        <f t="shared" si="30"/>
        <v/>
      </c>
      <c r="AG87" t="str">
        <f t="shared" si="31"/>
        <v>NO</v>
      </c>
      <c r="AH87" t="str">
        <f t="shared" si="31"/>
        <v>NO</v>
      </c>
      <c r="AI87" t="str">
        <f t="shared" si="31"/>
        <v>NO</v>
      </c>
      <c r="AJ87" t="str">
        <f t="shared" si="31"/>
        <v>NO</v>
      </c>
      <c r="AK87" t="str">
        <f t="shared" si="31"/>
        <v>NO</v>
      </c>
      <c r="AL87" t="str">
        <f t="shared" si="31"/>
        <v/>
      </c>
      <c r="AN87" s="1196" t="str">
        <f t="shared" si="32"/>
        <v/>
      </c>
      <c r="AW87" t="str">
        <f t="shared" si="33"/>
        <v>NO</v>
      </c>
      <c r="AX87" t="str">
        <f t="shared" si="33"/>
        <v>NO</v>
      </c>
      <c r="AY87" t="str">
        <f t="shared" si="33"/>
        <v>NO</v>
      </c>
      <c r="AZ87" t="str">
        <f t="shared" si="33"/>
        <v>NO</v>
      </c>
      <c r="BA87" t="str">
        <f t="shared" si="33"/>
        <v>NO</v>
      </c>
      <c r="BB87" t="str">
        <f t="shared" si="33"/>
        <v/>
      </c>
      <c r="BD87" s="1196" t="str">
        <f t="shared" si="34"/>
        <v/>
      </c>
      <c r="BQ87" s="1196" t="str">
        <f t="shared" si="35"/>
        <v/>
      </c>
    </row>
    <row r="88" spans="1:69" x14ac:dyDescent="0.35">
      <c r="A88" t="str">
        <f t="shared" si="26"/>
        <v>NO</v>
      </c>
      <c r="B88" t="str">
        <f t="shared" si="26"/>
        <v>NO</v>
      </c>
      <c r="C88" t="str">
        <f t="shared" si="26"/>
        <v>NO</v>
      </c>
      <c r="D88" t="str">
        <f t="shared" si="26"/>
        <v>NO</v>
      </c>
      <c r="E88" t="str">
        <f t="shared" si="26"/>
        <v>NO</v>
      </c>
      <c r="F88" t="str">
        <f t="shared" si="26"/>
        <v/>
      </c>
      <c r="H88" s="1196" t="str">
        <f t="shared" si="27"/>
        <v/>
      </c>
      <c r="Q88" t="str">
        <f t="shared" si="28"/>
        <v>NO</v>
      </c>
      <c r="R88" t="str">
        <f t="shared" si="28"/>
        <v>NO</v>
      </c>
      <c r="S88" t="str">
        <f t="shared" si="28"/>
        <v>NO</v>
      </c>
      <c r="T88" t="str">
        <f t="shared" si="28"/>
        <v>NO</v>
      </c>
      <c r="U88" t="str">
        <f t="shared" si="28"/>
        <v>NO</v>
      </c>
      <c r="V88" t="str">
        <f t="shared" si="28"/>
        <v/>
      </c>
      <c r="W88" t="str">
        <f t="shared" si="29"/>
        <v/>
      </c>
      <c r="X88" s="1196" t="str">
        <f t="shared" si="30"/>
        <v/>
      </c>
      <c r="AG88" t="str">
        <f t="shared" si="31"/>
        <v>NO</v>
      </c>
      <c r="AH88" t="str">
        <f t="shared" si="31"/>
        <v>NO</v>
      </c>
      <c r="AI88" t="str">
        <f t="shared" si="31"/>
        <v>NO</v>
      </c>
      <c r="AJ88" t="str">
        <f t="shared" si="31"/>
        <v>NO</v>
      </c>
      <c r="AK88" t="str">
        <f t="shared" si="31"/>
        <v>NO</v>
      </c>
      <c r="AL88" t="str">
        <f t="shared" si="31"/>
        <v/>
      </c>
      <c r="AN88" s="1196" t="str">
        <f t="shared" si="32"/>
        <v/>
      </c>
      <c r="AW88" t="str">
        <f t="shared" si="33"/>
        <v>NO</v>
      </c>
      <c r="AX88" t="str">
        <f t="shared" si="33"/>
        <v>NO</v>
      </c>
      <c r="AY88" t="str">
        <f t="shared" si="33"/>
        <v>NO</v>
      </c>
      <c r="AZ88" t="str">
        <f t="shared" si="33"/>
        <v>NO</v>
      </c>
      <c r="BA88" t="str">
        <f t="shared" si="33"/>
        <v>NO</v>
      </c>
      <c r="BB88" t="str">
        <f t="shared" si="33"/>
        <v/>
      </c>
      <c r="BD88" s="1196" t="str">
        <f t="shared" si="34"/>
        <v/>
      </c>
      <c r="BQ88" s="1196" t="str">
        <f t="shared" si="35"/>
        <v/>
      </c>
    </row>
    <row r="89" spans="1:69" x14ac:dyDescent="0.35">
      <c r="A89" t="str">
        <f t="shared" si="26"/>
        <v>NO</v>
      </c>
      <c r="B89" t="str">
        <f t="shared" si="26"/>
        <v>NO</v>
      </c>
      <c r="C89" t="str">
        <f t="shared" si="26"/>
        <v>NO</v>
      </c>
      <c r="D89" t="str">
        <f t="shared" si="26"/>
        <v>NO</v>
      </c>
      <c r="E89" t="str">
        <f t="shared" si="26"/>
        <v>NO</v>
      </c>
      <c r="F89" t="str">
        <f t="shared" si="26"/>
        <v/>
      </c>
      <c r="H89" s="1196" t="str">
        <f t="shared" si="27"/>
        <v/>
      </c>
      <c r="Q89" t="str">
        <f t="shared" si="28"/>
        <v>NO</v>
      </c>
      <c r="R89" t="str">
        <f t="shared" si="28"/>
        <v>NO</v>
      </c>
      <c r="S89" t="str">
        <f t="shared" si="28"/>
        <v>NO</v>
      </c>
      <c r="T89" t="str">
        <f t="shared" si="28"/>
        <v>NO</v>
      </c>
      <c r="U89" t="str">
        <f t="shared" si="28"/>
        <v>NO</v>
      </c>
      <c r="V89" t="str">
        <f t="shared" si="28"/>
        <v/>
      </c>
      <c r="W89" t="str">
        <f t="shared" si="29"/>
        <v/>
      </c>
      <c r="X89" s="1196" t="str">
        <f t="shared" si="30"/>
        <v/>
      </c>
      <c r="AG89" t="str">
        <f t="shared" si="31"/>
        <v>NO</v>
      </c>
      <c r="AH89" t="str">
        <f t="shared" si="31"/>
        <v>NO</v>
      </c>
      <c r="AI89" t="str">
        <f t="shared" si="31"/>
        <v>NO</v>
      </c>
      <c r="AJ89" t="str">
        <f t="shared" si="31"/>
        <v>NO</v>
      </c>
      <c r="AK89" t="str">
        <f t="shared" si="31"/>
        <v>NO</v>
      </c>
      <c r="AL89" t="str">
        <f t="shared" si="31"/>
        <v/>
      </c>
      <c r="AN89" s="1196" t="str">
        <f t="shared" si="32"/>
        <v/>
      </c>
      <c r="AW89" t="str">
        <f t="shared" si="33"/>
        <v>NO</v>
      </c>
      <c r="AX89" t="str">
        <f t="shared" si="33"/>
        <v>NO</v>
      </c>
      <c r="AY89" t="str">
        <f t="shared" si="33"/>
        <v>NO</v>
      </c>
      <c r="AZ89" t="str">
        <f t="shared" si="33"/>
        <v>NO</v>
      </c>
      <c r="BA89" t="str">
        <f t="shared" si="33"/>
        <v>NO</v>
      </c>
      <c r="BB89" t="str">
        <f t="shared" si="33"/>
        <v/>
      </c>
      <c r="BD89" s="1196" t="str">
        <f t="shared" si="34"/>
        <v/>
      </c>
      <c r="BQ89" s="1196" t="str">
        <f t="shared" si="35"/>
        <v/>
      </c>
    </row>
    <row r="90" spans="1:69" x14ac:dyDescent="0.35">
      <c r="A90" t="str">
        <f t="shared" si="26"/>
        <v>NO</v>
      </c>
      <c r="B90" t="str">
        <f t="shared" si="26"/>
        <v>NO</v>
      </c>
      <c r="C90" t="str">
        <f t="shared" si="26"/>
        <v>NO</v>
      </c>
      <c r="D90" t="str">
        <f t="shared" si="26"/>
        <v>NO</v>
      </c>
      <c r="E90" t="str">
        <f t="shared" si="26"/>
        <v>NO</v>
      </c>
      <c r="F90" t="str">
        <f t="shared" si="26"/>
        <v/>
      </c>
      <c r="H90" s="1196" t="str">
        <f t="shared" si="27"/>
        <v/>
      </c>
      <c r="Q90" t="str">
        <f t="shared" si="28"/>
        <v>NO</v>
      </c>
      <c r="R90" t="str">
        <f t="shared" si="28"/>
        <v>NO</v>
      </c>
      <c r="S90" t="str">
        <f t="shared" si="28"/>
        <v>NO</v>
      </c>
      <c r="T90" t="str">
        <f t="shared" si="28"/>
        <v>NO</v>
      </c>
      <c r="U90" t="str">
        <f t="shared" si="28"/>
        <v>NO</v>
      </c>
      <c r="V90" t="str">
        <f t="shared" si="28"/>
        <v/>
      </c>
      <c r="W90" t="str">
        <f t="shared" si="29"/>
        <v/>
      </c>
      <c r="X90" s="1196" t="str">
        <f t="shared" si="30"/>
        <v/>
      </c>
      <c r="AG90" t="str">
        <f t="shared" si="31"/>
        <v>NO</v>
      </c>
      <c r="AH90" t="str">
        <f t="shared" si="31"/>
        <v>NO</v>
      </c>
      <c r="AI90" t="str">
        <f t="shared" si="31"/>
        <v>NO</v>
      </c>
      <c r="AJ90" t="str">
        <f t="shared" si="31"/>
        <v>NO</v>
      </c>
      <c r="AK90" t="str">
        <f t="shared" si="31"/>
        <v>NO</v>
      </c>
      <c r="AL90" t="str">
        <f t="shared" si="31"/>
        <v/>
      </c>
      <c r="AN90" s="1196" t="str">
        <f t="shared" si="32"/>
        <v/>
      </c>
      <c r="AW90" t="str">
        <f t="shared" si="33"/>
        <v>NO</v>
      </c>
      <c r="AX90" t="str">
        <f t="shared" si="33"/>
        <v>NO</v>
      </c>
      <c r="AY90" t="str">
        <f t="shared" si="33"/>
        <v>NO</v>
      </c>
      <c r="AZ90" t="str">
        <f t="shared" si="33"/>
        <v>NO</v>
      </c>
      <c r="BA90" t="str">
        <f t="shared" si="33"/>
        <v>NO</v>
      </c>
      <c r="BB90" t="str">
        <f t="shared" si="33"/>
        <v/>
      </c>
      <c r="BD90" s="1196" t="str">
        <f t="shared" si="34"/>
        <v/>
      </c>
      <c r="BQ90" s="1196" t="str">
        <f t="shared" si="35"/>
        <v/>
      </c>
    </row>
    <row r="91" spans="1:69" x14ac:dyDescent="0.35">
      <c r="A91" t="str">
        <f t="shared" si="26"/>
        <v>NO</v>
      </c>
      <c r="B91" t="str">
        <f t="shared" si="26"/>
        <v>NO</v>
      </c>
      <c r="C91" t="str">
        <f t="shared" si="26"/>
        <v>NO</v>
      </c>
      <c r="D91" t="str">
        <f t="shared" si="26"/>
        <v>NO</v>
      </c>
      <c r="E91" t="str">
        <f t="shared" si="26"/>
        <v>NO</v>
      </c>
      <c r="F91" t="str">
        <f t="shared" si="26"/>
        <v/>
      </c>
      <c r="H91" s="1196" t="str">
        <f t="shared" si="27"/>
        <v/>
      </c>
      <c r="Q91" t="str">
        <f t="shared" si="28"/>
        <v>NO</v>
      </c>
      <c r="R91" t="str">
        <f t="shared" si="28"/>
        <v>NO</v>
      </c>
      <c r="S91" t="str">
        <f t="shared" si="28"/>
        <v>NO</v>
      </c>
      <c r="T91" t="str">
        <f t="shared" si="28"/>
        <v>NO</v>
      </c>
      <c r="U91" t="str">
        <f t="shared" si="28"/>
        <v>NO</v>
      </c>
      <c r="V91" t="str">
        <f t="shared" si="28"/>
        <v/>
      </c>
      <c r="W91" t="str">
        <f t="shared" si="29"/>
        <v/>
      </c>
      <c r="X91" s="1196" t="str">
        <f t="shared" si="30"/>
        <v/>
      </c>
      <c r="AG91" t="str">
        <f t="shared" si="31"/>
        <v>NO</v>
      </c>
      <c r="AH91" t="str">
        <f t="shared" si="31"/>
        <v>NO</v>
      </c>
      <c r="AI91" t="str">
        <f t="shared" si="31"/>
        <v>NO</v>
      </c>
      <c r="AJ91" t="str">
        <f t="shared" si="31"/>
        <v>NO</v>
      </c>
      <c r="AK91" t="str">
        <f t="shared" si="31"/>
        <v>NO</v>
      </c>
      <c r="AL91" t="str">
        <f t="shared" si="31"/>
        <v/>
      </c>
      <c r="AN91" s="1196" t="str">
        <f t="shared" si="32"/>
        <v/>
      </c>
      <c r="AW91" t="str">
        <f t="shared" si="33"/>
        <v>NO</v>
      </c>
      <c r="AX91" t="str">
        <f t="shared" si="33"/>
        <v>NO</v>
      </c>
      <c r="AY91" t="str">
        <f t="shared" si="33"/>
        <v>NO</v>
      </c>
      <c r="AZ91" t="str">
        <f t="shared" si="33"/>
        <v>NO</v>
      </c>
      <c r="BA91" t="str">
        <f t="shared" si="33"/>
        <v>NO</v>
      </c>
      <c r="BB91" t="str">
        <f t="shared" si="33"/>
        <v/>
      </c>
      <c r="BD91" s="1196" t="str">
        <f t="shared" si="34"/>
        <v/>
      </c>
      <c r="BQ91" s="1196" t="str">
        <f t="shared" si="35"/>
        <v/>
      </c>
    </row>
    <row r="92" spans="1:69" x14ac:dyDescent="0.35">
      <c r="A92" t="str">
        <f t="shared" si="26"/>
        <v>NO</v>
      </c>
      <c r="B92" t="str">
        <f t="shared" si="26"/>
        <v>NO</v>
      </c>
      <c r="C92" t="str">
        <f t="shared" si="26"/>
        <v>NO</v>
      </c>
      <c r="D92" t="str">
        <f t="shared" si="26"/>
        <v>NO</v>
      </c>
      <c r="E92" t="str">
        <f t="shared" si="26"/>
        <v>NO</v>
      </c>
      <c r="F92" t="str">
        <f t="shared" si="26"/>
        <v/>
      </c>
      <c r="H92" s="1196" t="str">
        <f t="shared" si="27"/>
        <v/>
      </c>
      <c r="Q92" t="str">
        <f t="shared" si="28"/>
        <v>NO</v>
      </c>
      <c r="R92" t="str">
        <f t="shared" si="28"/>
        <v>NO</v>
      </c>
      <c r="S92" t="str">
        <f t="shared" si="28"/>
        <v>NO</v>
      </c>
      <c r="T92" t="str">
        <f t="shared" si="28"/>
        <v>NO</v>
      </c>
      <c r="U92" t="str">
        <f t="shared" si="28"/>
        <v>NO</v>
      </c>
      <c r="V92" t="str">
        <f t="shared" si="28"/>
        <v/>
      </c>
      <c r="W92" t="str">
        <f t="shared" si="29"/>
        <v/>
      </c>
      <c r="X92" s="1196" t="str">
        <f t="shared" si="30"/>
        <v/>
      </c>
      <c r="AG92" t="str">
        <f t="shared" si="31"/>
        <v>NO</v>
      </c>
      <c r="AH92" t="str">
        <f t="shared" si="31"/>
        <v>NO</v>
      </c>
      <c r="AI92" t="str">
        <f t="shared" si="31"/>
        <v>NO</v>
      </c>
      <c r="AJ92" t="str">
        <f t="shared" si="31"/>
        <v>NO</v>
      </c>
      <c r="AK92" t="str">
        <f t="shared" si="31"/>
        <v>NO</v>
      </c>
      <c r="AL92" t="str">
        <f t="shared" si="31"/>
        <v/>
      </c>
      <c r="AN92" s="1196" t="str">
        <f t="shared" si="32"/>
        <v/>
      </c>
      <c r="AW92" t="str">
        <f t="shared" si="33"/>
        <v>NO</v>
      </c>
      <c r="AX92" t="str">
        <f t="shared" si="33"/>
        <v>NO</v>
      </c>
      <c r="AY92" t="str">
        <f t="shared" si="33"/>
        <v>NO</v>
      </c>
      <c r="AZ92" t="str">
        <f t="shared" si="33"/>
        <v>NO</v>
      </c>
      <c r="BA92" t="str">
        <f t="shared" si="33"/>
        <v>NO</v>
      </c>
      <c r="BB92" t="str">
        <f t="shared" si="33"/>
        <v/>
      </c>
      <c r="BD92" s="1196" t="str">
        <f t="shared" si="34"/>
        <v/>
      </c>
      <c r="BQ92" s="1196" t="str">
        <f t="shared" si="35"/>
        <v/>
      </c>
    </row>
    <row r="93" spans="1:69" x14ac:dyDescent="0.35">
      <c r="A93" t="str">
        <f t="shared" si="26"/>
        <v>NO</v>
      </c>
      <c r="B93" t="str">
        <f t="shared" si="26"/>
        <v>NO</v>
      </c>
      <c r="C93" t="str">
        <f t="shared" si="26"/>
        <v>NO</v>
      </c>
      <c r="D93" t="str">
        <f t="shared" si="26"/>
        <v>NO</v>
      </c>
      <c r="E93" t="str">
        <f t="shared" si="26"/>
        <v>NO</v>
      </c>
      <c r="F93" t="str">
        <f t="shared" si="26"/>
        <v/>
      </c>
      <c r="H93" s="1196" t="str">
        <f t="shared" si="27"/>
        <v/>
      </c>
      <c r="Q93" t="str">
        <f t="shared" si="28"/>
        <v>NO</v>
      </c>
      <c r="R93" t="str">
        <f t="shared" si="28"/>
        <v>NO</v>
      </c>
      <c r="S93" t="str">
        <f t="shared" si="28"/>
        <v>NO</v>
      </c>
      <c r="T93" t="str">
        <f t="shared" si="28"/>
        <v>NO</v>
      </c>
      <c r="U93" t="str">
        <f t="shared" si="28"/>
        <v>NO</v>
      </c>
      <c r="V93" t="str">
        <f t="shared" si="28"/>
        <v/>
      </c>
      <c r="W93" t="str">
        <f t="shared" si="29"/>
        <v/>
      </c>
      <c r="X93" s="1196" t="str">
        <f t="shared" si="30"/>
        <v/>
      </c>
      <c r="AG93" t="str">
        <f t="shared" si="31"/>
        <v>NO</v>
      </c>
      <c r="AH93" t="str">
        <f t="shared" si="31"/>
        <v>NO</v>
      </c>
      <c r="AI93" t="str">
        <f t="shared" si="31"/>
        <v>NO</v>
      </c>
      <c r="AJ93" t="str">
        <f t="shared" si="31"/>
        <v>NO</v>
      </c>
      <c r="AK93" t="str">
        <f t="shared" si="31"/>
        <v>NO</v>
      </c>
      <c r="AL93" t="str">
        <f t="shared" si="31"/>
        <v/>
      </c>
      <c r="AN93" s="1196" t="str">
        <f t="shared" si="32"/>
        <v/>
      </c>
      <c r="AW93" t="str">
        <f t="shared" si="33"/>
        <v>NO</v>
      </c>
      <c r="AX93" t="str">
        <f t="shared" si="33"/>
        <v>NO</v>
      </c>
      <c r="AY93" t="str">
        <f t="shared" si="33"/>
        <v>NO</v>
      </c>
      <c r="AZ93" t="str">
        <f t="shared" si="33"/>
        <v>NO</v>
      </c>
      <c r="BA93" t="str">
        <f t="shared" si="33"/>
        <v>NO</v>
      </c>
      <c r="BB93" t="str">
        <f t="shared" si="33"/>
        <v/>
      </c>
      <c r="BD93" s="1196" t="str">
        <f t="shared" si="34"/>
        <v/>
      </c>
      <c r="BQ93" s="1196" t="str">
        <f t="shared" si="35"/>
        <v/>
      </c>
    </row>
    <row r="94" spans="1:69" x14ac:dyDescent="0.35">
      <c r="A94" t="str">
        <f t="shared" si="26"/>
        <v>NO</v>
      </c>
      <c r="B94" t="str">
        <f t="shared" si="26"/>
        <v>NO</v>
      </c>
      <c r="C94" t="str">
        <f t="shared" si="26"/>
        <v>NO</v>
      </c>
      <c r="D94" t="str">
        <f t="shared" si="26"/>
        <v>NO</v>
      </c>
      <c r="E94" t="str">
        <f t="shared" si="26"/>
        <v>NO</v>
      </c>
      <c r="F94" t="str">
        <f t="shared" si="26"/>
        <v/>
      </c>
      <c r="H94" s="1196" t="str">
        <f t="shared" si="27"/>
        <v/>
      </c>
      <c r="Q94" t="str">
        <f t="shared" si="28"/>
        <v>NO</v>
      </c>
      <c r="R94" t="str">
        <f t="shared" si="28"/>
        <v>NO</v>
      </c>
      <c r="S94" t="str">
        <f t="shared" si="28"/>
        <v>NO</v>
      </c>
      <c r="T94" t="str">
        <f t="shared" si="28"/>
        <v>NO</v>
      </c>
      <c r="U94" t="str">
        <f t="shared" si="28"/>
        <v>NO</v>
      </c>
      <c r="V94" t="str">
        <f t="shared" si="28"/>
        <v/>
      </c>
      <c r="W94" t="str">
        <f t="shared" si="29"/>
        <v/>
      </c>
      <c r="X94" s="1196" t="str">
        <f t="shared" si="30"/>
        <v/>
      </c>
      <c r="AG94" t="str">
        <f t="shared" si="31"/>
        <v>NO</v>
      </c>
      <c r="AH94" t="str">
        <f t="shared" si="31"/>
        <v>NO</v>
      </c>
      <c r="AI94" t="str">
        <f t="shared" si="31"/>
        <v>NO</v>
      </c>
      <c r="AJ94" t="str">
        <f t="shared" si="31"/>
        <v>NO</v>
      </c>
      <c r="AK94" t="str">
        <f t="shared" si="31"/>
        <v>NO</v>
      </c>
      <c r="AL94" t="str">
        <f t="shared" si="31"/>
        <v/>
      </c>
      <c r="AN94" s="1196" t="str">
        <f t="shared" si="32"/>
        <v/>
      </c>
      <c r="AW94" t="str">
        <f t="shared" si="33"/>
        <v>NO</v>
      </c>
      <c r="AX94" t="str">
        <f t="shared" si="33"/>
        <v>NO</v>
      </c>
      <c r="AY94" t="str">
        <f t="shared" si="33"/>
        <v>NO</v>
      </c>
      <c r="AZ94" t="str">
        <f t="shared" si="33"/>
        <v>NO</v>
      </c>
      <c r="BA94" t="str">
        <f t="shared" si="33"/>
        <v>NO</v>
      </c>
      <c r="BB94" t="str">
        <f t="shared" si="33"/>
        <v/>
      </c>
      <c r="BD94" s="1196" t="str">
        <f t="shared" si="34"/>
        <v/>
      </c>
      <c r="BQ94" s="1196" t="str">
        <f t="shared" si="35"/>
        <v/>
      </c>
    </row>
    <row r="95" spans="1:69" x14ac:dyDescent="0.35">
      <c r="A95" t="str">
        <f t="shared" si="26"/>
        <v>NO</v>
      </c>
      <c r="B95" t="str">
        <f t="shared" si="26"/>
        <v>NO</v>
      </c>
      <c r="C95" t="str">
        <f t="shared" si="26"/>
        <v>NO</v>
      </c>
      <c r="D95" t="str">
        <f t="shared" si="26"/>
        <v>NO</v>
      </c>
      <c r="E95" t="str">
        <f t="shared" si="26"/>
        <v>NO</v>
      </c>
      <c r="F95" t="str">
        <f t="shared" si="26"/>
        <v/>
      </c>
      <c r="H95" s="1196" t="str">
        <f t="shared" si="27"/>
        <v/>
      </c>
      <c r="Q95" t="str">
        <f t="shared" si="28"/>
        <v>NO</v>
      </c>
      <c r="R95" t="str">
        <f t="shared" si="28"/>
        <v>NO</v>
      </c>
      <c r="S95" t="str">
        <f t="shared" si="28"/>
        <v>NO</v>
      </c>
      <c r="T95" t="str">
        <f t="shared" si="28"/>
        <v>NO</v>
      </c>
      <c r="U95" t="str">
        <f t="shared" si="28"/>
        <v>NO</v>
      </c>
      <c r="V95" t="str">
        <f t="shared" si="28"/>
        <v/>
      </c>
      <c r="W95" t="str">
        <f t="shared" si="29"/>
        <v/>
      </c>
      <c r="X95" s="1196" t="str">
        <f t="shared" si="30"/>
        <v/>
      </c>
      <c r="AG95" t="str">
        <f t="shared" si="31"/>
        <v>NO</v>
      </c>
      <c r="AH95" t="str">
        <f t="shared" si="31"/>
        <v>NO</v>
      </c>
      <c r="AI95" t="str">
        <f t="shared" si="31"/>
        <v>NO</v>
      </c>
      <c r="AJ95" t="str">
        <f t="shared" si="31"/>
        <v>NO</v>
      </c>
      <c r="AK95" t="str">
        <f t="shared" si="31"/>
        <v>NO</v>
      </c>
      <c r="AL95" t="str">
        <f t="shared" si="31"/>
        <v/>
      </c>
      <c r="AN95" s="1196" t="str">
        <f t="shared" si="32"/>
        <v/>
      </c>
      <c r="AW95" t="str">
        <f t="shared" si="33"/>
        <v>NO</v>
      </c>
      <c r="AX95" t="str">
        <f t="shared" si="33"/>
        <v>NO</v>
      </c>
      <c r="AY95" t="str">
        <f t="shared" si="33"/>
        <v>NO</v>
      </c>
      <c r="AZ95" t="str">
        <f t="shared" si="33"/>
        <v>NO</v>
      </c>
      <c r="BA95" t="str">
        <f t="shared" si="33"/>
        <v>NO</v>
      </c>
      <c r="BB95" t="str">
        <f t="shared" si="33"/>
        <v/>
      </c>
      <c r="BD95" s="1196" t="str">
        <f t="shared" si="34"/>
        <v/>
      </c>
      <c r="BQ95" s="1196" t="str">
        <f t="shared" si="35"/>
        <v/>
      </c>
    </row>
    <row r="96" spans="1:69" x14ac:dyDescent="0.35">
      <c r="A96" t="str">
        <f t="shared" si="26"/>
        <v>NO</v>
      </c>
      <c r="B96" t="str">
        <f t="shared" si="26"/>
        <v>NO</v>
      </c>
      <c r="C96" t="str">
        <f t="shared" si="26"/>
        <v>NO</v>
      </c>
      <c r="D96" t="str">
        <f t="shared" si="26"/>
        <v>NO</v>
      </c>
      <c r="E96" t="str">
        <f t="shared" si="26"/>
        <v>NO</v>
      </c>
      <c r="F96" t="str">
        <f t="shared" si="26"/>
        <v/>
      </c>
      <c r="H96" s="1196" t="str">
        <f t="shared" si="27"/>
        <v/>
      </c>
      <c r="Q96" t="str">
        <f t="shared" si="28"/>
        <v>NO</v>
      </c>
      <c r="R96" t="str">
        <f t="shared" si="28"/>
        <v>NO</v>
      </c>
      <c r="S96" t="str">
        <f t="shared" si="28"/>
        <v>NO</v>
      </c>
      <c r="T96" t="str">
        <f t="shared" si="28"/>
        <v>NO</v>
      </c>
      <c r="U96" t="str">
        <f t="shared" si="28"/>
        <v>NO</v>
      </c>
      <c r="V96" t="str">
        <f t="shared" si="28"/>
        <v/>
      </c>
      <c r="W96" t="str">
        <f t="shared" si="29"/>
        <v/>
      </c>
      <c r="X96" s="1196" t="str">
        <f t="shared" si="30"/>
        <v/>
      </c>
      <c r="AG96" t="str">
        <f t="shared" si="31"/>
        <v>NO</v>
      </c>
      <c r="AH96" t="str">
        <f t="shared" si="31"/>
        <v>NO</v>
      </c>
      <c r="AI96" t="str">
        <f t="shared" si="31"/>
        <v>NO</v>
      </c>
      <c r="AJ96" t="str">
        <f t="shared" si="31"/>
        <v>NO</v>
      </c>
      <c r="AK96" t="str">
        <f t="shared" si="31"/>
        <v>NO</v>
      </c>
      <c r="AL96" t="str">
        <f t="shared" si="31"/>
        <v/>
      </c>
      <c r="AN96" s="1196" t="str">
        <f t="shared" si="32"/>
        <v/>
      </c>
      <c r="AW96" t="str">
        <f t="shared" si="33"/>
        <v>NO</v>
      </c>
      <c r="AX96" t="str">
        <f t="shared" si="33"/>
        <v>NO</v>
      </c>
      <c r="AY96" t="str">
        <f t="shared" si="33"/>
        <v>NO</v>
      </c>
      <c r="AZ96" t="str">
        <f t="shared" si="33"/>
        <v>NO</v>
      </c>
      <c r="BA96" t="str">
        <f t="shared" si="33"/>
        <v>NO</v>
      </c>
      <c r="BB96" t="str">
        <f t="shared" si="33"/>
        <v/>
      </c>
      <c r="BD96" s="1196" t="str">
        <f t="shared" si="34"/>
        <v/>
      </c>
      <c r="BQ96" s="1196" t="str">
        <f t="shared" si="35"/>
        <v/>
      </c>
    </row>
    <row r="97" spans="1:69" x14ac:dyDescent="0.35">
      <c r="A97" t="str">
        <f t="shared" si="26"/>
        <v>NO</v>
      </c>
      <c r="B97" t="str">
        <f t="shared" si="26"/>
        <v>NO</v>
      </c>
      <c r="C97" t="str">
        <f t="shared" si="26"/>
        <v>NO</v>
      </c>
      <c r="D97" t="str">
        <f t="shared" si="26"/>
        <v>NO</v>
      </c>
      <c r="E97" t="str">
        <f t="shared" si="26"/>
        <v>NO</v>
      </c>
      <c r="F97" t="str">
        <f t="shared" si="26"/>
        <v/>
      </c>
      <c r="H97" s="1196" t="str">
        <f t="shared" si="27"/>
        <v/>
      </c>
      <c r="Q97" t="str">
        <f t="shared" si="28"/>
        <v>NO</v>
      </c>
      <c r="R97" t="str">
        <f t="shared" si="28"/>
        <v>NO</v>
      </c>
      <c r="S97" t="str">
        <f t="shared" si="28"/>
        <v>NO</v>
      </c>
      <c r="T97" t="str">
        <f t="shared" si="28"/>
        <v>NO</v>
      </c>
      <c r="U97" t="str">
        <f t="shared" si="28"/>
        <v>NO</v>
      </c>
      <c r="V97" t="str">
        <f t="shared" si="28"/>
        <v/>
      </c>
      <c r="W97" t="str">
        <f t="shared" si="29"/>
        <v/>
      </c>
      <c r="X97" s="1196" t="str">
        <f t="shared" si="30"/>
        <v/>
      </c>
      <c r="AG97" t="str">
        <f t="shared" si="31"/>
        <v>NO</v>
      </c>
      <c r="AH97" t="str">
        <f t="shared" si="31"/>
        <v>NO</v>
      </c>
      <c r="AI97" t="str">
        <f t="shared" si="31"/>
        <v>NO</v>
      </c>
      <c r="AJ97" t="str">
        <f t="shared" si="31"/>
        <v>NO</v>
      </c>
      <c r="AK97" t="str">
        <f t="shared" si="31"/>
        <v>NO</v>
      </c>
      <c r="AL97" t="str">
        <f t="shared" si="31"/>
        <v/>
      </c>
      <c r="AN97" s="1196" t="str">
        <f t="shared" si="32"/>
        <v/>
      </c>
      <c r="AW97" t="str">
        <f t="shared" si="33"/>
        <v>NO</v>
      </c>
      <c r="AX97" t="str">
        <f t="shared" si="33"/>
        <v>NO</v>
      </c>
      <c r="AY97" t="str">
        <f t="shared" si="33"/>
        <v>NO</v>
      </c>
      <c r="AZ97" t="str">
        <f t="shared" si="33"/>
        <v>NO</v>
      </c>
      <c r="BA97" t="str">
        <f t="shared" si="33"/>
        <v>NO</v>
      </c>
      <c r="BB97" t="str">
        <f t="shared" si="33"/>
        <v/>
      </c>
      <c r="BD97" s="1196" t="str">
        <f t="shared" si="34"/>
        <v/>
      </c>
      <c r="BQ97" s="1196" t="str">
        <f t="shared" si="35"/>
        <v/>
      </c>
    </row>
    <row r="98" spans="1:69" x14ac:dyDescent="0.35">
      <c r="A98" t="str">
        <f t="shared" si="26"/>
        <v>NO</v>
      </c>
      <c r="B98" t="str">
        <f t="shared" si="26"/>
        <v>NO</v>
      </c>
      <c r="C98" t="str">
        <f t="shared" si="26"/>
        <v>NO</v>
      </c>
      <c r="D98" t="str">
        <f t="shared" si="26"/>
        <v>NO</v>
      </c>
      <c r="E98" t="str">
        <f t="shared" si="26"/>
        <v>NO</v>
      </c>
      <c r="F98" t="str">
        <f t="shared" si="26"/>
        <v/>
      </c>
      <c r="H98" s="1196" t="str">
        <f t="shared" si="27"/>
        <v/>
      </c>
      <c r="Q98" t="str">
        <f t="shared" si="28"/>
        <v>NO</v>
      </c>
      <c r="R98" t="str">
        <f t="shared" si="28"/>
        <v>NO</v>
      </c>
      <c r="S98" t="str">
        <f t="shared" si="28"/>
        <v>NO</v>
      </c>
      <c r="T98" t="str">
        <f t="shared" si="28"/>
        <v>NO</v>
      </c>
      <c r="U98" t="str">
        <f t="shared" si="28"/>
        <v>NO</v>
      </c>
      <c r="V98" t="str">
        <f t="shared" si="28"/>
        <v/>
      </c>
      <c r="W98" t="str">
        <f t="shared" si="29"/>
        <v/>
      </c>
      <c r="X98" s="1196" t="str">
        <f t="shared" si="30"/>
        <v/>
      </c>
      <c r="AG98" t="str">
        <f t="shared" si="31"/>
        <v>NO</v>
      </c>
      <c r="AH98" t="str">
        <f t="shared" si="31"/>
        <v>NO</v>
      </c>
      <c r="AI98" t="str">
        <f t="shared" si="31"/>
        <v>NO</v>
      </c>
      <c r="AJ98" t="str">
        <f t="shared" si="31"/>
        <v>NO</v>
      </c>
      <c r="AK98" t="str">
        <f t="shared" si="31"/>
        <v>NO</v>
      </c>
      <c r="AL98" t="str">
        <f t="shared" si="31"/>
        <v/>
      </c>
      <c r="AN98" s="1196" t="str">
        <f t="shared" si="32"/>
        <v/>
      </c>
      <c r="AW98" t="str">
        <f t="shared" si="33"/>
        <v>NO</v>
      </c>
      <c r="AX98" t="str">
        <f t="shared" si="33"/>
        <v>NO</v>
      </c>
      <c r="AY98" t="str">
        <f t="shared" si="33"/>
        <v>NO</v>
      </c>
      <c r="AZ98" t="str">
        <f t="shared" si="33"/>
        <v>NO</v>
      </c>
      <c r="BA98" t="str">
        <f t="shared" si="33"/>
        <v>NO</v>
      </c>
      <c r="BB98" t="str">
        <f t="shared" si="33"/>
        <v/>
      </c>
      <c r="BD98" s="1196" t="str">
        <f t="shared" si="34"/>
        <v/>
      </c>
      <c r="BQ98" s="1196" t="str">
        <f t="shared" si="35"/>
        <v/>
      </c>
    </row>
    <row r="99" spans="1:69" x14ac:dyDescent="0.35">
      <c r="A99" t="str">
        <f t="shared" si="26"/>
        <v>NO</v>
      </c>
      <c r="B99" t="str">
        <f t="shared" si="26"/>
        <v>NO</v>
      </c>
      <c r="C99" t="str">
        <f t="shared" si="26"/>
        <v>NO</v>
      </c>
      <c r="D99" t="str">
        <f t="shared" si="26"/>
        <v>NO</v>
      </c>
      <c r="E99" t="str">
        <f t="shared" si="26"/>
        <v>NO</v>
      </c>
      <c r="F99" t="str">
        <f t="shared" si="26"/>
        <v/>
      </c>
      <c r="H99" s="1196" t="str">
        <f t="shared" si="27"/>
        <v/>
      </c>
      <c r="Q99" t="str">
        <f t="shared" si="28"/>
        <v>NO</v>
      </c>
      <c r="R99" t="str">
        <f t="shared" si="28"/>
        <v>NO</v>
      </c>
      <c r="S99" t="str">
        <f t="shared" si="28"/>
        <v>NO</v>
      </c>
      <c r="T99" t="str">
        <f t="shared" si="28"/>
        <v>NO</v>
      </c>
      <c r="U99" t="str">
        <f t="shared" si="28"/>
        <v>NO</v>
      </c>
      <c r="V99" t="str">
        <f t="shared" si="28"/>
        <v/>
      </c>
      <c r="W99" t="str">
        <f t="shared" si="29"/>
        <v/>
      </c>
      <c r="X99" s="1196" t="str">
        <f t="shared" si="30"/>
        <v/>
      </c>
      <c r="AG99" t="str">
        <f t="shared" si="31"/>
        <v>NO</v>
      </c>
      <c r="AH99" t="str">
        <f t="shared" si="31"/>
        <v>NO</v>
      </c>
      <c r="AI99" t="str">
        <f t="shared" si="31"/>
        <v>NO</v>
      </c>
      <c r="AJ99" t="str">
        <f t="shared" si="31"/>
        <v>NO</v>
      </c>
      <c r="AK99" t="str">
        <f t="shared" si="31"/>
        <v>NO</v>
      </c>
      <c r="AL99" t="str">
        <f t="shared" si="31"/>
        <v/>
      </c>
      <c r="AN99" s="1196" t="str">
        <f t="shared" si="32"/>
        <v/>
      </c>
      <c r="AW99" t="str">
        <f t="shared" si="33"/>
        <v>NO</v>
      </c>
      <c r="AX99" t="str">
        <f t="shared" si="33"/>
        <v>NO</v>
      </c>
      <c r="AY99" t="str">
        <f t="shared" si="33"/>
        <v>NO</v>
      </c>
      <c r="AZ99" t="str">
        <f t="shared" si="33"/>
        <v>NO</v>
      </c>
      <c r="BA99" t="str">
        <f t="shared" si="33"/>
        <v>NO</v>
      </c>
      <c r="BB99" t="str">
        <f t="shared" si="33"/>
        <v/>
      </c>
      <c r="BD99" s="1196" t="str">
        <f t="shared" si="34"/>
        <v/>
      </c>
      <c r="BQ99" s="1196" t="str">
        <f t="shared" si="35"/>
        <v/>
      </c>
    </row>
    <row r="100" spans="1:69" x14ac:dyDescent="0.35">
      <c r="A100" t="str">
        <f t="shared" ref="A100:F125" si="36">IFERROR(IF($K100=A$2,_xlfn.CONCAT($I100,$J100),"NO"),0)</f>
        <v>NO</v>
      </c>
      <c r="B100" t="str">
        <f t="shared" si="36"/>
        <v>NO</v>
      </c>
      <c r="C100" t="str">
        <f t="shared" si="36"/>
        <v>NO</v>
      </c>
      <c r="D100" t="str">
        <f t="shared" si="36"/>
        <v>NO</v>
      </c>
      <c r="E100" t="str">
        <f t="shared" si="36"/>
        <v>NO</v>
      </c>
      <c r="F100" t="str">
        <f t="shared" si="36"/>
        <v/>
      </c>
      <c r="H100" s="1196" t="str">
        <f t="shared" si="27"/>
        <v/>
      </c>
      <c r="Q100" t="str">
        <f t="shared" ref="Q100:V125" si="37">IFERROR(IF($AA100=Q$2,_xlfn.CONCAT($Y100,$Z100),"NO"),0)</f>
        <v>NO</v>
      </c>
      <c r="R100" t="str">
        <f t="shared" si="37"/>
        <v>NO</v>
      </c>
      <c r="S100" t="str">
        <f t="shared" si="37"/>
        <v>NO</v>
      </c>
      <c r="T100" t="str">
        <f t="shared" si="37"/>
        <v>NO</v>
      </c>
      <c r="U100" t="str">
        <f t="shared" si="37"/>
        <v>NO</v>
      </c>
      <c r="V100" t="str">
        <f t="shared" si="37"/>
        <v/>
      </c>
      <c r="W100" t="str">
        <f t="shared" si="29"/>
        <v/>
      </c>
      <c r="X100" s="1196" t="str">
        <f t="shared" si="30"/>
        <v/>
      </c>
      <c r="AG100" t="str">
        <f t="shared" ref="AG100:AL125" si="38">IFERROR(IF($AQ100=AG$2,_xlfn.CONCAT($AO100,$AP100),"NO"),0)</f>
        <v>NO</v>
      </c>
      <c r="AH100" t="str">
        <f t="shared" si="38"/>
        <v>NO</v>
      </c>
      <c r="AI100" t="str">
        <f t="shared" si="38"/>
        <v>NO</v>
      </c>
      <c r="AJ100" t="str">
        <f t="shared" si="38"/>
        <v>NO</v>
      </c>
      <c r="AK100" t="str">
        <f t="shared" si="38"/>
        <v>NO</v>
      </c>
      <c r="AL100" t="str">
        <f t="shared" si="38"/>
        <v/>
      </c>
      <c r="AN100" s="1196" t="str">
        <f t="shared" si="32"/>
        <v/>
      </c>
      <c r="AW100" t="str">
        <f t="shared" ref="AW100:BB125" si="39">IFERROR(IF($BG100=AW$2,_xlfn.CONCAT($BE100,$BF100),"NO"),0)</f>
        <v>NO</v>
      </c>
      <c r="AX100" t="str">
        <f t="shared" si="39"/>
        <v>NO</v>
      </c>
      <c r="AY100" t="str">
        <f t="shared" si="39"/>
        <v>NO</v>
      </c>
      <c r="AZ100" t="str">
        <f t="shared" si="39"/>
        <v>NO</v>
      </c>
      <c r="BA100" t="str">
        <f t="shared" si="39"/>
        <v>NO</v>
      </c>
      <c r="BB100" t="str">
        <f t="shared" si="39"/>
        <v/>
      </c>
      <c r="BD100" s="1196" t="str">
        <f t="shared" si="34"/>
        <v/>
      </c>
      <c r="BQ100" s="1196" t="str">
        <f t="shared" si="35"/>
        <v/>
      </c>
    </row>
    <row r="101" spans="1:69" x14ac:dyDescent="0.35">
      <c r="A101" t="str">
        <f t="shared" si="36"/>
        <v>NO</v>
      </c>
      <c r="B101" t="str">
        <f t="shared" si="36"/>
        <v>NO</v>
      </c>
      <c r="C101" t="str">
        <f t="shared" si="36"/>
        <v>NO</v>
      </c>
      <c r="D101" t="str">
        <f t="shared" si="36"/>
        <v>NO</v>
      </c>
      <c r="E101" t="str">
        <f t="shared" si="36"/>
        <v>NO</v>
      </c>
      <c r="F101" t="str">
        <f t="shared" si="36"/>
        <v/>
      </c>
      <c r="H101" s="1196" t="str">
        <f t="shared" si="27"/>
        <v/>
      </c>
      <c r="Q101" t="str">
        <f t="shared" si="37"/>
        <v>NO</v>
      </c>
      <c r="R101" t="str">
        <f t="shared" si="37"/>
        <v>NO</v>
      </c>
      <c r="S101" t="str">
        <f t="shared" si="37"/>
        <v>NO</v>
      </c>
      <c r="T101" t="str">
        <f t="shared" si="37"/>
        <v>NO</v>
      </c>
      <c r="U101" t="str">
        <f t="shared" si="37"/>
        <v>NO</v>
      </c>
      <c r="V101" t="str">
        <f t="shared" si="37"/>
        <v/>
      </c>
      <c r="W101" t="str">
        <f t="shared" si="29"/>
        <v/>
      </c>
      <c r="X101" s="1196" t="str">
        <f t="shared" si="30"/>
        <v/>
      </c>
      <c r="AG101" t="str">
        <f t="shared" si="38"/>
        <v>NO</v>
      </c>
      <c r="AH101" t="str">
        <f t="shared" si="38"/>
        <v>NO</v>
      </c>
      <c r="AI101" t="str">
        <f t="shared" si="38"/>
        <v>NO</v>
      </c>
      <c r="AJ101" t="str">
        <f t="shared" si="38"/>
        <v>NO</v>
      </c>
      <c r="AK101" t="str">
        <f t="shared" si="38"/>
        <v>NO</v>
      </c>
      <c r="AL101" t="str">
        <f t="shared" si="38"/>
        <v/>
      </c>
      <c r="AN101" s="1196" t="str">
        <f t="shared" si="32"/>
        <v/>
      </c>
      <c r="AW101" t="str">
        <f t="shared" si="39"/>
        <v>NO</v>
      </c>
      <c r="AX101" t="str">
        <f t="shared" si="39"/>
        <v>NO</v>
      </c>
      <c r="AY101" t="str">
        <f t="shared" si="39"/>
        <v>NO</v>
      </c>
      <c r="AZ101" t="str">
        <f t="shared" si="39"/>
        <v>NO</v>
      </c>
      <c r="BA101" t="str">
        <f t="shared" si="39"/>
        <v>NO</v>
      </c>
      <c r="BB101" t="str">
        <f t="shared" si="39"/>
        <v/>
      </c>
      <c r="BD101" s="1196" t="str">
        <f t="shared" si="34"/>
        <v/>
      </c>
      <c r="BQ101" s="1196" t="str">
        <f t="shared" si="35"/>
        <v/>
      </c>
    </row>
    <row r="102" spans="1:69" x14ac:dyDescent="0.35">
      <c r="A102" t="str">
        <f t="shared" si="36"/>
        <v>NO</v>
      </c>
      <c r="B102" t="str">
        <f t="shared" si="36"/>
        <v>NO</v>
      </c>
      <c r="C102" t="str">
        <f t="shared" si="36"/>
        <v>NO</v>
      </c>
      <c r="D102" t="str">
        <f t="shared" si="36"/>
        <v>NO</v>
      </c>
      <c r="E102" t="str">
        <f t="shared" si="36"/>
        <v>NO</v>
      </c>
      <c r="F102" t="str">
        <f t="shared" si="36"/>
        <v/>
      </c>
      <c r="H102" s="1196" t="str">
        <f t="shared" si="27"/>
        <v/>
      </c>
      <c r="Q102" t="str">
        <f t="shared" si="37"/>
        <v>NO</v>
      </c>
      <c r="R102" t="str">
        <f t="shared" si="37"/>
        <v>NO</v>
      </c>
      <c r="S102" t="str">
        <f t="shared" si="37"/>
        <v>NO</v>
      </c>
      <c r="T102" t="str">
        <f t="shared" si="37"/>
        <v>NO</v>
      </c>
      <c r="U102" t="str">
        <f t="shared" si="37"/>
        <v>NO</v>
      </c>
      <c r="V102" t="str">
        <f t="shared" si="37"/>
        <v/>
      </c>
      <c r="W102" t="str">
        <f t="shared" si="29"/>
        <v/>
      </c>
      <c r="X102" s="1196" t="str">
        <f t="shared" si="30"/>
        <v/>
      </c>
      <c r="AG102" t="str">
        <f t="shared" si="38"/>
        <v>NO</v>
      </c>
      <c r="AH102" t="str">
        <f t="shared" si="38"/>
        <v>NO</v>
      </c>
      <c r="AI102" t="str">
        <f t="shared" si="38"/>
        <v>NO</v>
      </c>
      <c r="AJ102" t="str">
        <f t="shared" si="38"/>
        <v>NO</v>
      </c>
      <c r="AK102" t="str">
        <f t="shared" si="38"/>
        <v>NO</v>
      </c>
      <c r="AL102" t="str">
        <f t="shared" si="38"/>
        <v/>
      </c>
      <c r="AN102" s="1196" t="str">
        <f t="shared" si="32"/>
        <v/>
      </c>
      <c r="AW102" t="str">
        <f t="shared" si="39"/>
        <v>NO</v>
      </c>
      <c r="AX102" t="str">
        <f t="shared" si="39"/>
        <v>NO</v>
      </c>
      <c r="AY102" t="str">
        <f t="shared" si="39"/>
        <v>NO</v>
      </c>
      <c r="AZ102" t="str">
        <f t="shared" si="39"/>
        <v>NO</v>
      </c>
      <c r="BA102" t="str">
        <f t="shared" si="39"/>
        <v>NO</v>
      </c>
      <c r="BB102" t="str">
        <f t="shared" si="39"/>
        <v/>
      </c>
      <c r="BD102" s="1196" t="str">
        <f t="shared" si="34"/>
        <v/>
      </c>
      <c r="BQ102" s="1196" t="str">
        <f t="shared" si="35"/>
        <v/>
      </c>
    </row>
    <row r="103" spans="1:69" x14ac:dyDescent="0.35">
      <c r="A103" t="str">
        <f t="shared" si="36"/>
        <v>NO</v>
      </c>
      <c r="B103" t="str">
        <f t="shared" si="36"/>
        <v>NO</v>
      </c>
      <c r="C103" t="str">
        <f t="shared" si="36"/>
        <v>NO</v>
      </c>
      <c r="D103" t="str">
        <f t="shared" si="36"/>
        <v>NO</v>
      </c>
      <c r="E103" t="str">
        <f t="shared" si="36"/>
        <v>NO</v>
      </c>
      <c r="F103" t="str">
        <f t="shared" si="36"/>
        <v/>
      </c>
      <c r="H103" s="1196" t="str">
        <f t="shared" si="27"/>
        <v/>
      </c>
      <c r="Q103" t="str">
        <f t="shared" si="37"/>
        <v>NO</v>
      </c>
      <c r="R103" t="str">
        <f t="shared" si="37"/>
        <v>NO</v>
      </c>
      <c r="S103" t="str">
        <f t="shared" si="37"/>
        <v>NO</v>
      </c>
      <c r="T103" t="str">
        <f t="shared" si="37"/>
        <v>NO</v>
      </c>
      <c r="U103" t="str">
        <f t="shared" si="37"/>
        <v>NO</v>
      </c>
      <c r="V103" t="str">
        <f t="shared" si="37"/>
        <v/>
      </c>
      <c r="W103" t="str">
        <f t="shared" si="29"/>
        <v/>
      </c>
      <c r="X103" s="1196" t="str">
        <f t="shared" si="30"/>
        <v/>
      </c>
      <c r="AG103" t="str">
        <f t="shared" si="38"/>
        <v>NO</v>
      </c>
      <c r="AH103" t="str">
        <f t="shared" si="38"/>
        <v>NO</v>
      </c>
      <c r="AI103" t="str">
        <f t="shared" si="38"/>
        <v>NO</v>
      </c>
      <c r="AJ103" t="str">
        <f t="shared" si="38"/>
        <v>NO</v>
      </c>
      <c r="AK103" t="str">
        <f t="shared" si="38"/>
        <v>NO</v>
      </c>
      <c r="AL103" t="str">
        <f t="shared" si="38"/>
        <v/>
      </c>
      <c r="AN103" s="1196" t="str">
        <f t="shared" si="32"/>
        <v/>
      </c>
      <c r="AW103" t="str">
        <f t="shared" si="39"/>
        <v>NO</v>
      </c>
      <c r="AX103" t="str">
        <f t="shared" si="39"/>
        <v>NO</v>
      </c>
      <c r="AY103" t="str">
        <f t="shared" si="39"/>
        <v>NO</v>
      </c>
      <c r="AZ103" t="str">
        <f t="shared" si="39"/>
        <v>NO</v>
      </c>
      <c r="BA103" t="str">
        <f t="shared" si="39"/>
        <v>NO</v>
      </c>
      <c r="BB103" t="str">
        <f t="shared" si="39"/>
        <v/>
      </c>
      <c r="BD103" s="1196" t="str">
        <f t="shared" si="34"/>
        <v/>
      </c>
      <c r="BQ103" s="1196" t="str">
        <f t="shared" si="35"/>
        <v/>
      </c>
    </row>
    <row r="104" spans="1:69" x14ac:dyDescent="0.35">
      <c r="A104" t="str">
        <f t="shared" si="36"/>
        <v>NO</v>
      </c>
      <c r="B104" t="str">
        <f t="shared" si="36"/>
        <v>NO</v>
      </c>
      <c r="C104" t="str">
        <f t="shared" si="36"/>
        <v>NO</v>
      </c>
      <c r="D104" t="str">
        <f t="shared" si="36"/>
        <v>NO</v>
      </c>
      <c r="E104" t="str">
        <f t="shared" si="36"/>
        <v>NO</v>
      </c>
      <c r="F104" t="str">
        <f t="shared" si="36"/>
        <v/>
      </c>
      <c r="H104" s="1196" t="str">
        <f t="shared" si="27"/>
        <v/>
      </c>
      <c r="Q104" t="str">
        <f t="shared" si="37"/>
        <v>NO</v>
      </c>
      <c r="R104" t="str">
        <f t="shared" si="37"/>
        <v>NO</v>
      </c>
      <c r="S104" t="str">
        <f t="shared" si="37"/>
        <v>NO</v>
      </c>
      <c r="T104" t="str">
        <f t="shared" si="37"/>
        <v>NO</v>
      </c>
      <c r="U104" t="str">
        <f t="shared" si="37"/>
        <v>NO</v>
      </c>
      <c r="V104" t="str">
        <f t="shared" si="37"/>
        <v/>
      </c>
      <c r="W104" t="str">
        <f t="shared" si="29"/>
        <v/>
      </c>
      <c r="X104" s="1196" t="str">
        <f t="shared" si="30"/>
        <v/>
      </c>
      <c r="AG104" t="str">
        <f t="shared" si="38"/>
        <v>NO</v>
      </c>
      <c r="AH104" t="str">
        <f t="shared" si="38"/>
        <v>NO</v>
      </c>
      <c r="AI104" t="str">
        <f t="shared" si="38"/>
        <v>NO</v>
      </c>
      <c r="AJ104" t="str">
        <f t="shared" si="38"/>
        <v>NO</v>
      </c>
      <c r="AK104" t="str">
        <f t="shared" si="38"/>
        <v>NO</v>
      </c>
      <c r="AL104" t="str">
        <f t="shared" si="38"/>
        <v/>
      </c>
      <c r="AN104" s="1196" t="str">
        <f t="shared" si="32"/>
        <v/>
      </c>
      <c r="AW104" t="str">
        <f t="shared" si="39"/>
        <v>NO</v>
      </c>
      <c r="AX104" t="str">
        <f t="shared" si="39"/>
        <v>NO</v>
      </c>
      <c r="AY104" t="str">
        <f t="shared" si="39"/>
        <v>NO</v>
      </c>
      <c r="AZ104" t="str">
        <f t="shared" si="39"/>
        <v>NO</v>
      </c>
      <c r="BA104" t="str">
        <f t="shared" si="39"/>
        <v>NO</v>
      </c>
      <c r="BB104" t="str">
        <f t="shared" si="39"/>
        <v/>
      </c>
      <c r="BD104" s="1196" t="str">
        <f t="shared" si="34"/>
        <v/>
      </c>
      <c r="BQ104" s="1196" t="str">
        <f t="shared" si="35"/>
        <v/>
      </c>
    </row>
    <row r="105" spans="1:69" x14ac:dyDescent="0.35">
      <c r="A105" t="str">
        <f t="shared" si="36"/>
        <v>NO</v>
      </c>
      <c r="B105" t="str">
        <f t="shared" si="36"/>
        <v>NO</v>
      </c>
      <c r="C105" t="str">
        <f t="shared" si="36"/>
        <v>NO</v>
      </c>
      <c r="D105" t="str">
        <f t="shared" si="36"/>
        <v>NO</v>
      </c>
      <c r="E105" t="str">
        <f t="shared" si="36"/>
        <v>NO</v>
      </c>
      <c r="F105" t="str">
        <f t="shared" si="36"/>
        <v/>
      </c>
      <c r="H105" s="1196" t="str">
        <f t="shared" si="27"/>
        <v/>
      </c>
      <c r="Q105" t="str">
        <f t="shared" si="37"/>
        <v>NO</v>
      </c>
      <c r="R105" t="str">
        <f t="shared" si="37"/>
        <v>NO</v>
      </c>
      <c r="S105" t="str">
        <f t="shared" si="37"/>
        <v>NO</v>
      </c>
      <c r="T105" t="str">
        <f t="shared" si="37"/>
        <v>NO</v>
      </c>
      <c r="U105" t="str">
        <f t="shared" si="37"/>
        <v>NO</v>
      </c>
      <c r="V105" t="str">
        <f t="shared" si="37"/>
        <v/>
      </c>
      <c r="W105" t="str">
        <f t="shared" si="29"/>
        <v/>
      </c>
      <c r="X105" s="1196" t="str">
        <f t="shared" si="30"/>
        <v/>
      </c>
      <c r="AG105" t="str">
        <f t="shared" si="38"/>
        <v>NO</v>
      </c>
      <c r="AH105" t="str">
        <f t="shared" si="38"/>
        <v>NO</v>
      </c>
      <c r="AI105" t="str">
        <f t="shared" si="38"/>
        <v>NO</v>
      </c>
      <c r="AJ105" t="str">
        <f t="shared" si="38"/>
        <v>NO</v>
      </c>
      <c r="AK105" t="str">
        <f t="shared" si="38"/>
        <v>NO</v>
      </c>
      <c r="AL105" t="str">
        <f t="shared" si="38"/>
        <v/>
      </c>
      <c r="AN105" s="1196" t="str">
        <f t="shared" si="32"/>
        <v/>
      </c>
      <c r="AW105" t="str">
        <f t="shared" si="39"/>
        <v>NO</v>
      </c>
      <c r="AX105" t="str">
        <f t="shared" si="39"/>
        <v>NO</v>
      </c>
      <c r="AY105" t="str">
        <f t="shared" si="39"/>
        <v>NO</v>
      </c>
      <c r="AZ105" t="str">
        <f t="shared" si="39"/>
        <v>NO</v>
      </c>
      <c r="BA105" t="str">
        <f t="shared" si="39"/>
        <v>NO</v>
      </c>
      <c r="BB105" t="str">
        <f t="shared" si="39"/>
        <v/>
      </c>
      <c r="BD105" s="1196" t="str">
        <f t="shared" si="34"/>
        <v/>
      </c>
      <c r="BQ105" s="1196" t="str">
        <f t="shared" si="35"/>
        <v/>
      </c>
    </row>
    <row r="106" spans="1:69" x14ac:dyDescent="0.35">
      <c r="A106" t="str">
        <f t="shared" si="36"/>
        <v>NO</v>
      </c>
      <c r="B106" t="str">
        <f t="shared" si="36"/>
        <v>NO</v>
      </c>
      <c r="C106" t="str">
        <f t="shared" si="36"/>
        <v>NO</v>
      </c>
      <c r="D106" t="str">
        <f t="shared" si="36"/>
        <v>NO</v>
      </c>
      <c r="E106" t="str">
        <f t="shared" si="36"/>
        <v>NO</v>
      </c>
      <c r="F106" t="str">
        <f t="shared" si="36"/>
        <v/>
      </c>
      <c r="H106" s="1196" t="str">
        <f t="shared" si="27"/>
        <v/>
      </c>
      <c r="Q106" t="str">
        <f t="shared" si="37"/>
        <v>NO</v>
      </c>
      <c r="R106" t="str">
        <f t="shared" si="37"/>
        <v>NO</v>
      </c>
      <c r="S106" t="str">
        <f t="shared" si="37"/>
        <v>NO</v>
      </c>
      <c r="T106" t="str">
        <f t="shared" si="37"/>
        <v>NO</v>
      </c>
      <c r="U106" t="str">
        <f t="shared" si="37"/>
        <v>NO</v>
      </c>
      <c r="V106" t="str">
        <f t="shared" si="37"/>
        <v/>
      </c>
      <c r="W106" t="str">
        <f t="shared" si="29"/>
        <v/>
      </c>
      <c r="X106" s="1196" t="str">
        <f t="shared" si="30"/>
        <v/>
      </c>
      <c r="AG106" t="str">
        <f t="shared" si="38"/>
        <v>NO</v>
      </c>
      <c r="AH106" t="str">
        <f t="shared" si="38"/>
        <v>NO</v>
      </c>
      <c r="AI106" t="str">
        <f t="shared" si="38"/>
        <v>NO</v>
      </c>
      <c r="AJ106" t="str">
        <f t="shared" si="38"/>
        <v>NO</v>
      </c>
      <c r="AK106" t="str">
        <f t="shared" si="38"/>
        <v>NO</v>
      </c>
      <c r="AL106" t="str">
        <f t="shared" si="38"/>
        <v/>
      </c>
      <c r="AN106" s="1196" t="str">
        <f t="shared" si="32"/>
        <v/>
      </c>
      <c r="AW106" t="str">
        <f t="shared" si="39"/>
        <v>NO</v>
      </c>
      <c r="AX106" t="str">
        <f t="shared" si="39"/>
        <v>NO</v>
      </c>
      <c r="AY106" t="str">
        <f t="shared" si="39"/>
        <v>NO</v>
      </c>
      <c r="AZ106" t="str">
        <f t="shared" si="39"/>
        <v>NO</v>
      </c>
      <c r="BA106" t="str">
        <f t="shared" si="39"/>
        <v>NO</v>
      </c>
      <c r="BB106" t="str">
        <f t="shared" si="39"/>
        <v/>
      </c>
      <c r="BD106" s="1196" t="str">
        <f t="shared" si="34"/>
        <v/>
      </c>
      <c r="BQ106" s="1196" t="str">
        <f t="shared" si="35"/>
        <v/>
      </c>
    </row>
    <row r="107" spans="1:69" x14ac:dyDescent="0.35">
      <c r="A107" t="str">
        <f t="shared" si="36"/>
        <v>NO</v>
      </c>
      <c r="B107" t="str">
        <f t="shared" si="36"/>
        <v>NO</v>
      </c>
      <c r="C107" t="str">
        <f t="shared" si="36"/>
        <v>NO</v>
      </c>
      <c r="D107" t="str">
        <f t="shared" si="36"/>
        <v>NO</v>
      </c>
      <c r="E107" t="str">
        <f t="shared" si="36"/>
        <v>NO</v>
      </c>
      <c r="F107" t="str">
        <f t="shared" si="36"/>
        <v/>
      </c>
      <c r="H107" s="1196" t="str">
        <f t="shared" si="27"/>
        <v/>
      </c>
      <c r="Q107" t="str">
        <f t="shared" si="37"/>
        <v>NO</v>
      </c>
      <c r="R107" t="str">
        <f t="shared" si="37"/>
        <v>NO</v>
      </c>
      <c r="S107" t="str">
        <f t="shared" si="37"/>
        <v>NO</v>
      </c>
      <c r="T107" t="str">
        <f t="shared" si="37"/>
        <v>NO</v>
      </c>
      <c r="U107" t="str">
        <f t="shared" si="37"/>
        <v>NO</v>
      </c>
      <c r="V107" t="str">
        <f t="shared" si="37"/>
        <v/>
      </c>
      <c r="W107" t="str">
        <f t="shared" si="29"/>
        <v/>
      </c>
      <c r="X107" s="1196" t="str">
        <f t="shared" si="30"/>
        <v/>
      </c>
      <c r="AG107" t="str">
        <f t="shared" si="38"/>
        <v>NO</v>
      </c>
      <c r="AH107" t="str">
        <f t="shared" si="38"/>
        <v>NO</v>
      </c>
      <c r="AI107" t="str">
        <f t="shared" si="38"/>
        <v>NO</v>
      </c>
      <c r="AJ107" t="str">
        <f t="shared" si="38"/>
        <v>NO</v>
      </c>
      <c r="AK107" t="str">
        <f t="shared" si="38"/>
        <v>NO</v>
      </c>
      <c r="AL107" t="str">
        <f t="shared" si="38"/>
        <v/>
      </c>
      <c r="AN107" s="1196" t="str">
        <f t="shared" si="32"/>
        <v/>
      </c>
      <c r="AW107" t="str">
        <f t="shared" si="39"/>
        <v>NO</v>
      </c>
      <c r="AX107" t="str">
        <f t="shared" si="39"/>
        <v>NO</v>
      </c>
      <c r="AY107" t="str">
        <f t="shared" si="39"/>
        <v>NO</v>
      </c>
      <c r="AZ107" t="str">
        <f t="shared" si="39"/>
        <v>NO</v>
      </c>
      <c r="BA107" t="str">
        <f t="shared" si="39"/>
        <v>NO</v>
      </c>
      <c r="BB107" t="str">
        <f t="shared" si="39"/>
        <v/>
      </c>
      <c r="BD107" s="1196" t="str">
        <f t="shared" si="34"/>
        <v/>
      </c>
      <c r="BQ107" s="1196" t="str">
        <f t="shared" si="35"/>
        <v/>
      </c>
    </row>
    <row r="108" spans="1:69" x14ac:dyDescent="0.35">
      <c r="A108" t="str">
        <f t="shared" si="36"/>
        <v>NO</v>
      </c>
      <c r="B108" t="str">
        <f t="shared" si="36"/>
        <v>NO</v>
      </c>
      <c r="C108" t="str">
        <f t="shared" si="36"/>
        <v>NO</v>
      </c>
      <c r="D108" t="str">
        <f t="shared" si="36"/>
        <v>NO</v>
      </c>
      <c r="E108" t="str">
        <f t="shared" si="36"/>
        <v>NO</v>
      </c>
      <c r="F108" t="str">
        <f t="shared" si="36"/>
        <v/>
      </c>
      <c r="H108" s="1196" t="str">
        <f t="shared" si="27"/>
        <v/>
      </c>
      <c r="Q108" t="str">
        <f t="shared" si="37"/>
        <v>NO</v>
      </c>
      <c r="R108" t="str">
        <f t="shared" si="37"/>
        <v>NO</v>
      </c>
      <c r="S108" t="str">
        <f t="shared" si="37"/>
        <v>NO</v>
      </c>
      <c r="T108" t="str">
        <f t="shared" si="37"/>
        <v>NO</v>
      </c>
      <c r="U108" t="str">
        <f t="shared" si="37"/>
        <v>NO</v>
      </c>
      <c r="V108" t="str">
        <f t="shared" si="37"/>
        <v/>
      </c>
      <c r="W108" t="str">
        <f t="shared" si="29"/>
        <v/>
      </c>
      <c r="X108" s="1196" t="str">
        <f t="shared" si="30"/>
        <v/>
      </c>
      <c r="AG108" t="str">
        <f t="shared" si="38"/>
        <v>NO</v>
      </c>
      <c r="AH108" t="str">
        <f t="shared" si="38"/>
        <v>NO</v>
      </c>
      <c r="AI108" t="str">
        <f t="shared" si="38"/>
        <v>NO</v>
      </c>
      <c r="AJ108" t="str">
        <f t="shared" si="38"/>
        <v>NO</v>
      </c>
      <c r="AK108" t="str">
        <f t="shared" si="38"/>
        <v>NO</v>
      </c>
      <c r="AL108" t="str">
        <f t="shared" si="38"/>
        <v/>
      </c>
      <c r="AN108" s="1196" t="str">
        <f t="shared" si="32"/>
        <v/>
      </c>
      <c r="AW108" t="str">
        <f t="shared" si="39"/>
        <v>NO</v>
      </c>
      <c r="AX108" t="str">
        <f t="shared" si="39"/>
        <v>NO</v>
      </c>
      <c r="AY108" t="str">
        <f t="shared" si="39"/>
        <v>NO</v>
      </c>
      <c r="AZ108" t="str">
        <f t="shared" si="39"/>
        <v>NO</v>
      </c>
      <c r="BA108" t="str">
        <f t="shared" si="39"/>
        <v>NO</v>
      </c>
      <c r="BB108" t="str">
        <f t="shared" si="39"/>
        <v/>
      </c>
      <c r="BD108" s="1196" t="str">
        <f t="shared" si="34"/>
        <v/>
      </c>
      <c r="BQ108" s="1196" t="str">
        <f t="shared" si="35"/>
        <v/>
      </c>
    </row>
    <row r="109" spans="1:69" x14ac:dyDescent="0.35">
      <c r="A109" t="str">
        <f t="shared" si="36"/>
        <v>NO</v>
      </c>
      <c r="B109" t="str">
        <f t="shared" si="36"/>
        <v>NO</v>
      </c>
      <c r="C109" t="str">
        <f t="shared" si="36"/>
        <v>NO</v>
      </c>
      <c r="D109" t="str">
        <f t="shared" si="36"/>
        <v>NO</v>
      </c>
      <c r="E109" t="str">
        <f t="shared" si="36"/>
        <v>NO</v>
      </c>
      <c r="F109" t="str">
        <f t="shared" si="36"/>
        <v/>
      </c>
      <c r="H109" s="1196" t="str">
        <f t="shared" si="27"/>
        <v/>
      </c>
      <c r="Q109" t="str">
        <f t="shared" si="37"/>
        <v>NO</v>
      </c>
      <c r="R109" t="str">
        <f t="shared" si="37"/>
        <v>NO</v>
      </c>
      <c r="S109" t="str">
        <f t="shared" si="37"/>
        <v>NO</v>
      </c>
      <c r="T109" t="str">
        <f t="shared" si="37"/>
        <v>NO</v>
      </c>
      <c r="U109" t="str">
        <f t="shared" si="37"/>
        <v>NO</v>
      </c>
      <c r="V109" t="str">
        <f t="shared" si="37"/>
        <v/>
      </c>
      <c r="W109" t="str">
        <f t="shared" si="29"/>
        <v/>
      </c>
      <c r="X109" s="1196" t="str">
        <f t="shared" si="30"/>
        <v/>
      </c>
      <c r="AG109" t="str">
        <f t="shared" si="38"/>
        <v>NO</v>
      </c>
      <c r="AH109" t="str">
        <f t="shared" si="38"/>
        <v>NO</v>
      </c>
      <c r="AI109" t="str">
        <f t="shared" si="38"/>
        <v>NO</v>
      </c>
      <c r="AJ109" t="str">
        <f t="shared" si="38"/>
        <v>NO</v>
      </c>
      <c r="AK109" t="str">
        <f t="shared" si="38"/>
        <v>NO</v>
      </c>
      <c r="AL109" t="str">
        <f t="shared" si="38"/>
        <v/>
      </c>
      <c r="AN109" s="1196" t="str">
        <f t="shared" si="32"/>
        <v/>
      </c>
      <c r="AW109" t="str">
        <f t="shared" si="39"/>
        <v>NO</v>
      </c>
      <c r="AX109" t="str">
        <f t="shared" si="39"/>
        <v>NO</v>
      </c>
      <c r="AY109" t="str">
        <f t="shared" si="39"/>
        <v>NO</v>
      </c>
      <c r="AZ109" t="str">
        <f t="shared" si="39"/>
        <v>NO</v>
      </c>
      <c r="BA109" t="str">
        <f t="shared" si="39"/>
        <v>NO</v>
      </c>
      <c r="BB109" t="str">
        <f t="shared" si="39"/>
        <v/>
      </c>
      <c r="BD109" s="1196" t="str">
        <f t="shared" si="34"/>
        <v/>
      </c>
      <c r="BQ109" s="1196" t="str">
        <f t="shared" si="35"/>
        <v/>
      </c>
    </row>
    <row r="110" spans="1:69" x14ac:dyDescent="0.35">
      <c r="A110" t="str">
        <f t="shared" si="36"/>
        <v>NO</v>
      </c>
      <c r="B110" t="str">
        <f t="shared" si="36"/>
        <v>NO</v>
      </c>
      <c r="C110" t="str">
        <f t="shared" si="36"/>
        <v>NO</v>
      </c>
      <c r="D110" t="str">
        <f t="shared" si="36"/>
        <v>NO</v>
      </c>
      <c r="E110" t="str">
        <f t="shared" si="36"/>
        <v>NO</v>
      </c>
      <c r="F110" t="str">
        <f t="shared" si="36"/>
        <v/>
      </c>
      <c r="H110" s="1196" t="str">
        <f t="shared" si="27"/>
        <v/>
      </c>
      <c r="Q110" t="str">
        <f t="shared" si="37"/>
        <v>NO</v>
      </c>
      <c r="R110" t="str">
        <f t="shared" si="37"/>
        <v>NO</v>
      </c>
      <c r="S110" t="str">
        <f t="shared" si="37"/>
        <v>NO</v>
      </c>
      <c r="T110" t="str">
        <f t="shared" si="37"/>
        <v>NO</v>
      </c>
      <c r="U110" t="str">
        <f t="shared" si="37"/>
        <v>NO</v>
      </c>
      <c r="V110" t="str">
        <f t="shared" si="37"/>
        <v/>
      </c>
      <c r="W110" t="str">
        <f t="shared" si="29"/>
        <v/>
      </c>
      <c r="X110" s="1196" t="str">
        <f t="shared" si="30"/>
        <v/>
      </c>
      <c r="AG110" t="str">
        <f t="shared" si="38"/>
        <v>NO</v>
      </c>
      <c r="AH110" t="str">
        <f t="shared" si="38"/>
        <v>NO</v>
      </c>
      <c r="AI110" t="str">
        <f t="shared" si="38"/>
        <v>NO</v>
      </c>
      <c r="AJ110" t="str">
        <f t="shared" si="38"/>
        <v>NO</v>
      </c>
      <c r="AK110" t="str">
        <f t="shared" si="38"/>
        <v>NO</v>
      </c>
      <c r="AL110" t="str">
        <f t="shared" si="38"/>
        <v/>
      </c>
      <c r="AN110" s="1196" t="str">
        <f t="shared" si="32"/>
        <v/>
      </c>
      <c r="AW110" t="str">
        <f t="shared" si="39"/>
        <v>NO</v>
      </c>
      <c r="AX110" t="str">
        <f t="shared" si="39"/>
        <v>NO</v>
      </c>
      <c r="AY110" t="str">
        <f t="shared" si="39"/>
        <v>NO</v>
      </c>
      <c r="AZ110" t="str">
        <f t="shared" si="39"/>
        <v>NO</v>
      </c>
      <c r="BA110" t="str">
        <f t="shared" si="39"/>
        <v>NO</v>
      </c>
      <c r="BB110" t="str">
        <f t="shared" si="39"/>
        <v/>
      </c>
      <c r="BD110" s="1196" t="str">
        <f t="shared" si="34"/>
        <v/>
      </c>
      <c r="BQ110" s="1196" t="str">
        <f t="shared" si="35"/>
        <v/>
      </c>
    </row>
    <row r="111" spans="1:69" x14ac:dyDescent="0.35">
      <c r="A111" t="str">
        <f t="shared" si="36"/>
        <v>NO</v>
      </c>
      <c r="B111" t="str">
        <f t="shared" si="36"/>
        <v>NO</v>
      </c>
      <c r="C111" t="str">
        <f t="shared" si="36"/>
        <v>NO</v>
      </c>
      <c r="D111" t="str">
        <f t="shared" si="36"/>
        <v>NO</v>
      </c>
      <c r="E111" t="str">
        <f t="shared" si="36"/>
        <v>NO</v>
      </c>
      <c r="F111" t="str">
        <f t="shared" si="36"/>
        <v/>
      </c>
      <c r="H111" s="1196" t="str">
        <f t="shared" si="27"/>
        <v/>
      </c>
      <c r="Q111" t="str">
        <f t="shared" si="37"/>
        <v>NO</v>
      </c>
      <c r="R111" t="str">
        <f t="shared" si="37"/>
        <v>NO</v>
      </c>
      <c r="S111" t="str">
        <f t="shared" si="37"/>
        <v>NO</v>
      </c>
      <c r="T111" t="str">
        <f t="shared" si="37"/>
        <v>NO</v>
      </c>
      <c r="U111" t="str">
        <f t="shared" si="37"/>
        <v>NO</v>
      </c>
      <c r="V111" t="str">
        <f t="shared" si="37"/>
        <v/>
      </c>
      <c r="W111" t="str">
        <f t="shared" si="29"/>
        <v/>
      </c>
      <c r="X111" s="1196" t="str">
        <f t="shared" si="30"/>
        <v/>
      </c>
      <c r="AG111" t="str">
        <f t="shared" si="38"/>
        <v>NO</v>
      </c>
      <c r="AH111" t="str">
        <f t="shared" si="38"/>
        <v>NO</v>
      </c>
      <c r="AI111" t="str">
        <f t="shared" si="38"/>
        <v>NO</v>
      </c>
      <c r="AJ111" t="str">
        <f t="shared" si="38"/>
        <v>NO</v>
      </c>
      <c r="AK111" t="str">
        <f t="shared" si="38"/>
        <v>NO</v>
      </c>
      <c r="AL111" t="str">
        <f t="shared" si="38"/>
        <v/>
      </c>
      <c r="AN111" s="1196" t="str">
        <f t="shared" si="32"/>
        <v/>
      </c>
      <c r="AW111" t="str">
        <f t="shared" si="39"/>
        <v>NO</v>
      </c>
      <c r="AX111" t="str">
        <f t="shared" si="39"/>
        <v>NO</v>
      </c>
      <c r="AY111" t="str">
        <f t="shared" si="39"/>
        <v>NO</v>
      </c>
      <c r="AZ111" t="str">
        <f t="shared" si="39"/>
        <v>NO</v>
      </c>
      <c r="BA111" t="str">
        <f t="shared" si="39"/>
        <v>NO</v>
      </c>
      <c r="BB111" t="str">
        <f t="shared" si="39"/>
        <v/>
      </c>
      <c r="BD111" s="1196" t="str">
        <f t="shared" si="34"/>
        <v/>
      </c>
      <c r="BQ111" s="1196" t="str">
        <f t="shared" si="35"/>
        <v/>
      </c>
    </row>
    <row r="112" spans="1:69" x14ac:dyDescent="0.35">
      <c r="A112" t="str">
        <f t="shared" si="36"/>
        <v>NO</v>
      </c>
      <c r="B112" t="str">
        <f t="shared" si="36"/>
        <v>NO</v>
      </c>
      <c r="C112" t="str">
        <f t="shared" si="36"/>
        <v>NO</v>
      </c>
      <c r="D112" t="str">
        <f t="shared" si="36"/>
        <v>NO</v>
      </c>
      <c r="E112" t="str">
        <f t="shared" si="36"/>
        <v>NO</v>
      </c>
      <c r="F112" t="str">
        <f t="shared" si="36"/>
        <v/>
      </c>
      <c r="H112" s="1196" t="str">
        <f t="shared" si="27"/>
        <v/>
      </c>
      <c r="Q112" t="str">
        <f t="shared" si="37"/>
        <v>NO</v>
      </c>
      <c r="R112" t="str">
        <f t="shared" si="37"/>
        <v>NO</v>
      </c>
      <c r="S112" t="str">
        <f t="shared" si="37"/>
        <v>NO</v>
      </c>
      <c r="T112" t="str">
        <f t="shared" si="37"/>
        <v>NO</v>
      </c>
      <c r="U112" t="str">
        <f t="shared" si="37"/>
        <v>NO</v>
      </c>
      <c r="V112" t="str">
        <f t="shared" si="37"/>
        <v/>
      </c>
      <c r="W112" t="str">
        <f t="shared" si="29"/>
        <v/>
      </c>
      <c r="X112" s="1196" t="str">
        <f t="shared" si="30"/>
        <v/>
      </c>
      <c r="AG112" t="str">
        <f t="shared" si="38"/>
        <v>NO</v>
      </c>
      <c r="AH112" t="str">
        <f t="shared" si="38"/>
        <v>NO</v>
      </c>
      <c r="AI112" t="str">
        <f t="shared" si="38"/>
        <v>NO</v>
      </c>
      <c r="AJ112" t="str">
        <f t="shared" si="38"/>
        <v>NO</v>
      </c>
      <c r="AK112" t="str">
        <f t="shared" si="38"/>
        <v>NO</v>
      </c>
      <c r="AL112" t="str">
        <f t="shared" si="38"/>
        <v/>
      </c>
      <c r="AN112" s="1196" t="str">
        <f t="shared" si="32"/>
        <v/>
      </c>
      <c r="AW112" t="str">
        <f t="shared" si="39"/>
        <v>NO</v>
      </c>
      <c r="AX112" t="str">
        <f t="shared" si="39"/>
        <v>NO</v>
      </c>
      <c r="AY112" t="str">
        <f t="shared" si="39"/>
        <v>NO</v>
      </c>
      <c r="AZ112" t="str">
        <f t="shared" si="39"/>
        <v>NO</v>
      </c>
      <c r="BA112" t="str">
        <f t="shared" si="39"/>
        <v>NO</v>
      </c>
      <c r="BB112" t="str">
        <f t="shared" si="39"/>
        <v/>
      </c>
      <c r="BD112" s="1196" t="str">
        <f t="shared" si="34"/>
        <v/>
      </c>
      <c r="BQ112" s="1196" t="str">
        <f t="shared" si="35"/>
        <v/>
      </c>
    </row>
    <row r="113" spans="1:69" x14ac:dyDescent="0.35">
      <c r="A113" t="str">
        <f t="shared" si="36"/>
        <v>NO</v>
      </c>
      <c r="B113" t="str">
        <f t="shared" si="36"/>
        <v>NO</v>
      </c>
      <c r="C113" t="str">
        <f t="shared" si="36"/>
        <v>NO</v>
      </c>
      <c r="D113" t="str">
        <f t="shared" si="36"/>
        <v>NO</v>
      </c>
      <c r="E113" t="str">
        <f t="shared" si="36"/>
        <v>NO</v>
      </c>
      <c r="F113" t="str">
        <f t="shared" si="36"/>
        <v/>
      </c>
      <c r="H113" s="1196" t="str">
        <f t="shared" si="27"/>
        <v/>
      </c>
      <c r="Q113" t="str">
        <f t="shared" si="37"/>
        <v>NO</v>
      </c>
      <c r="R113" t="str">
        <f t="shared" si="37"/>
        <v>NO</v>
      </c>
      <c r="S113" t="str">
        <f t="shared" si="37"/>
        <v>NO</v>
      </c>
      <c r="T113" t="str">
        <f t="shared" si="37"/>
        <v>NO</v>
      </c>
      <c r="U113" t="str">
        <f t="shared" si="37"/>
        <v>NO</v>
      </c>
      <c r="V113" t="str">
        <f t="shared" si="37"/>
        <v/>
      </c>
      <c r="W113" t="str">
        <f t="shared" si="29"/>
        <v/>
      </c>
      <c r="X113" s="1196" t="str">
        <f t="shared" si="30"/>
        <v/>
      </c>
      <c r="AG113" t="str">
        <f t="shared" si="38"/>
        <v>NO</v>
      </c>
      <c r="AH113" t="str">
        <f t="shared" si="38"/>
        <v>NO</v>
      </c>
      <c r="AI113" t="str">
        <f t="shared" si="38"/>
        <v>NO</v>
      </c>
      <c r="AJ113" t="str">
        <f t="shared" si="38"/>
        <v>NO</v>
      </c>
      <c r="AK113" t="str">
        <f t="shared" si="38"/>
        <v>NO</v>
      </c>
      <c r="AL113" t="str">
        <f t="shared" si="38"/>
        <v/>
      </c>
      <c r="AN113" s="1196" t="str">
        <f t="shared" si="32"/>
        <v/>
      </c>
      <c r="AW113" t="str">
        <f t="shared" si="39"/>
        <v>NO</v>
      </c>
      <c r="AX113" t="str">
        <f t="shared" si="39"/>
        <v>NO</v>
      </c>
      <c r="AY113" t="str">
        <f t="shared" si="39"/>
        <v>NO</v>
      </c>
      <c r="AZ113" t="str">
        <f t="shared" si="39"/>
        <v>NO</v>
      </c>
      <c r="BA113" t="str">
        <f t="shared" si="39"/>
        <v>NO</v>
      </c>
      <c r="BB113" t="str">
        <f t="shared" si="39"/>
        <v/>
      </c>
      <c r="BD113" s="1196" t="str">
        <f t="shared" si="34"/>
        <v/>
      </c>
      <c r="BQ113" s="1196" t="str">
        <f t="shared" si="35"/>
        <v/>
      </c>
    </row>
    <row r="114" spans="1:69" x14ac:dyDescent="0.35">
      <c r="A114" t="str">
        <f t="shared" si="36"/>
        <v>NO</v>
      </c>
      <c r="B114" t="str">
        <f t="shared" si="36"/>
        <v>NO</v>
      </c>
      <c r="C114" t="str">
        <f t="shared" si="36"/>
        <v>NO</v>
      </c>
      <c r="D114" t="str">
        <f t="shared" si="36"/>
        <v>NO</v>
      </c>
      <c r="E114" t="str">
        <f t="shared" si="36"/>
        <v>NO</v>
      </c>
      <c r="F114" t="str">
        <f t="shared" si="36"/>
        <v/>
      </c>
      <c r="H114" s="1196" t="str">
        <f t="shared" si="27"/>
        <v/>
      </c>
      <c r="Q114" t="str">
        <f t="shared" si="37"/>
        <v>NO</v>
      </c>
      <c r="R114" t="str">
        <f t="shared" si="37"/>
        <v>NO</v>
      </c>
      <c r="S114" t="str">
        <f t="shared" si="37"/>
        <v>NO</v>
      </c>
      <c r="T114" t="str">
        <f t="shared" si="37"/>
        <v>NO</v>
      </c>
      <c r="U114" t="str">
        <f t="shared" si="37"/>
        <v>NO</v>
      </c>
      <c r="V114" t="str">
        <f t="shared" si="37"/>
        <v/>
      </c>
      <c r="W114" t="str">
        <f t="shared" si="29"/>
        <v/>
      </c>
      <c r="X114" s="1196" t="str">
        <f t="shared" si="30"/>
        <v/>
      </c>
      <c r="AG114" t="str">
        <f t="shared" si="38"/>
        <v>NO</v>
      </c>
      <c r="AH114" t="str">
        <f t="shared" si="38"/>
        <v>NO</v>
      </c>
      <c r="AI114" t="str">
        <f t="shared" si="38"/>
        <v>NO</v>
      </c>
      <c r="AJ114" t="str">
        <f t="shared" si="38"/>
        <v>NO</v>
      </c>
      <c r="AK114" t="str">
        <f t="shared" si="38"/>
        <v>NO</v>
      </c>
      <c r="AL114" t="str">
        <f t="shared" si="38"/>
        <v/>
      </c>
      <c r="AN114" s="1196" t="str">
        <f t="shared" si="32"/>
        <v/>
      </c>
      <c r="AW114" t="str">
        <f t="shared" si="39"/>
        <v>NO</v>
      </c>
      <c r="AX114" t="str">
        <f t="shared" si="39"/>
        <v>NO</v>
      </c>
      <c r="AY114" t="str">
        <f t="shared" si="39"/>
        <v>NO</v>
      </c>
      <c r="AZ114" t="str">
        <f t="shared" si="39"/>
        <v>NO</v>
      </c>
      <c r="BA114" t="str">
        <f t="shared" si="39"/>
        <v>NO</v>
      </c>
      <c r="BB114" t="str">
        <f t="shared" si="39"/>
        <v/>
      </c>
      <c r="BD114" s="1196" t="str">
        <f t="shared" si="34"/>
        <v/>
      </c>
      <c r="BQ114" s="1196" t="str">
        <f t="shared" si="35"/>
        <v/>
      </c>
    </row>
    <row r="115" spans="1:69" x14ac:dyDescent="0.35">
      <c r="A115" t="str">
        <f t="shared" si="36"/>
        <v>NO</v>
      </c>
      <c r="B115" t="str">
        <f t="shared" si="36"/>
        <v>NO</v>
      </c>
      <c r="C115" t="str">
        <f t="shared" si="36"/>
        <v>NO</v>
      </c>
      <c r="D115" t="str">
        <f t="shared" si="36"/>
        <v>NO</v>
      </c>
      <c r="E115" t="str">
        <f t="shared" si="36"/>
        <v>NO</v>
      </c>
      <c r="F115" t="str">
        <f t="shared" si="36"/>
        <v/>
      </c>
      <c r="H115" s="1196" t="str">
        <f t="shared" si="27"/>
        <v/>
      </c>
      <c r="Q115" t="str">
        <f t="shared" si="37"/>
        <v>NO</v>
      </c>
      <c r="R115" t="str">
        <f t="shared" si="37"/>
        <v>NO</v>
      </c>
      <c r="S115" t="str">
        <f t="shared" si="37"/>
        <v>NO</v>
      </c>
      <c r="T115" t="str">
        <f t="shared" si="37"/>
        <v>NO</v>
      </c>
      <c r="U115" t="str">
        <f t="shared" si="37"/>
        <v>NO</v>
      </c>
      <c r="V115" t="str">
        <f t="shared" si="37"/>
        <v/>
      </c>
      <c r="W115" t="str">
        <f t="shared" si="29"/>
        <v/>
      </c>
      <c r="X115" s="1196" t="str">
        <f t="shared" si="30"/>
        <v/>
      </c>
      <c r="AG115" t="str">
        <f t="shared" si="38"/>
        <v>NO</v>
      </c>
      <c r="AH115" t="str">
        <f t="shared" si="38"/>
        <v>NO</v>
      </c>
      <c r="AI115" t="str">
        <f t="shared" si="38"/>
        <v>NO</v>
      </c>
      <c r="AJ115" t="str">
        <f t="shared" si="38"/>
        <v>NO</v>
      </c>
      <c r="AK115" t="str">
        <f t="shared" si="38"/>
        <v>NO</v>
      </c>
      <c r="AL115" t="str">
        <f t="shared" si="38"/>
        <v/>
      </c>
      <c r="AN115" s="1196" t="str">
        <f t="shared" si="32"/>
        <v/>
      </c>
      <c r="AW115" t="str">
        <f t="shared" si="39"/>
        <v>NO</v>
      </c>
      <c r="AX115" t="str">
        <f t="shared" si="39"/>
        <v>NO</v>
      </c>
      <c r="AY115" t="str">
        <f t="shared" si="39"/>
        <v>NO</v>
      </c>
      <c r="AZ115" t="str">
        <f t="shared" si="39"/>
        <v>NO</v>
      </c>
      <c r="BA115" t="str">
        <f t="shared" si="39"/>
        <v>NO</v>
      </c>
      <c r="BB115" t="str">
        <f t="shared" si="39"/>
        <v/>
      </c>
      <c r="BD115" s="1196" t="str">
        <f t="shared" si="34"/>
        <v/>
      </c>
      <c r="BQ115" s="1196" t="str">
        <f t="shared" si="35"/>
        <v/>
      </c>
    </row>
    <row r="116" spans="1:69" x14ac:dyDescent="0.35">
      <c r="A116" t="str">
        <f t="shared" si="36"/>
        <v>NO</v>
      </c>
      <c r="B116" t="str">
        <f t="shared" si="36"/>
        <v>NO</v>
      </c>
      <c r="C116" t="str">
        <f t="shared" si="36"/>
        <v>NO</v>
      </c>
      <c r="D116" t="str">
        <f t="shared" si="36"/>
        <v>NO</v>
      </c>
      <c r="E116" t="str">
        <f t="shared" si="36"/>
        <v>NO</v>
      </c>
      <c r="F116" t="str">
        <f t="shared" si="36"/>
        <v/>
      </c>
      <c r="H116" s="1196" t="str">
        <f t="shared" si="27"/>
        <v/>
      </c>
      <c r="Q116" t="str">
        <f t="shared" si="37"/>
        <v>NO</v>
      </c>
      <c r="R116" t="str">
        <f t="shared" si="37"/>
        <v>NO</v>
      </c>
      <c r="S116" t="str">
        <f t="shared" si="37"/>
        <v>NO</v>
      </c>
      <c r="T116" t="str">
        <f t="shared" si="37"/>
        <v>NO</v>
      </c>
      <c r="U116" t="str">
        <f t="shared" si="37"/>
        <v>NO</v>
      </c>
      <c r="V116" t="str">
        <f t="shared" si="37"/>
        <v/>
      </c>
      <c r="W116" t="str">
        <f t="shared" si="29"/>
        <v/>
      </c>
      <c r="X116" s="1196" t="str">
        <f t="shared" si="30"/>
        <v/>
      </c>
      <c r="AG116" t="str">
        <f t="shared" si="38"/>
        <v>NO</v>
      </c>
      <c r="AH116" t="str">
        <f t="shared" si="38"/>
        <v>NO</v>
      </c>
      <c r="AI116" t="str">
        <f t="shared" si="38"/>
        <v>NO</v>
      </c>
      <c r="AJ116" t="str">
        <f t="shared" si="38"/>
        <v>NO</v>
      </c>
      <c r="AK116" t="str">
        <f t="shared" si="38"/>
        <v>NO</v>
      </c>
      <c r="AL116" t="str">
        <f t="shared" si="38"/>
        <v/>
      </c>
      <c r="AN116" s="1196" t="str">
        <f t="shared" si="32"/>
        <v/>
      </c>
      <c r="AW116" t="str">
        <f t="shared" si="39"/>
        <v>NO</v>
      </c>
      <c r="AX116" t="str">
        <f t="shared" si="39"/>
        <v>NO</v>
      </c>
      <c r="AY116" t="str">
        <f t="shared" si="39"/>
        <v>NO</v>
      </c>
      <c r="AZ116" t="str">
        <f t="shared" si="39"/>
        <v>NO</v>
      </c>
      <c r="BA116" t="str">
        <f t="shared" si="39"/>
        <v>NO</v>
      </c>
      <c r="BB116" t="str">
        <f t="shared" si="39"/>
        <v/>
      </c>
      <c r="BD116" s="1196" t="str">
        <f t="shared" si="34"/>
        <v/>
      </c>
      <c r="BQ116" s="1196" t="str">
        <f t="shared" si="35"/>
        <v/>
      </c>
    </row>
    <row r="117" spans="1:69" x14ac:dyDescent="0.35">
      <c r="A117" t="str">
        <f t="shared" si="36"/>
        <v>NO</v>
      </c>
      <c r="B117" t="str">
        <f t="shared" si="36"/>
        <v>NO</v>
      </c>
      <c r="C117" t="str">
        <f t="shared" si="36"/>
        <v>NO</v>
      </c>
      <c r="D117" t="str">
        <f t="shared" si="36"/>
        <v>NO</v>
      </c>
      <c r="E117" t="str">
        <f t="shared" si="36"/>
        <v>NO</v>
      </c>
      <c r="F117" t="str">
        <f t="shared" si="36"/>
        <v/>
      </c>
      <c r="H117" s="1196" t="str">
        <f t="shared" si="27"/>
        <v/>
      </c>
      <c r="Q117" t="str">
        <f t="shared" si="37"/>
        <v>NO</v>
      </c>
      <c r="R117" t="str">
        <f t="shared" si="37"/>
        <v>NO</v>
      </c>
      <c r="S117" t="str">
        <f t="shared" si="37"/>
        <v>NO</v>
      </c>
      <c r="T117" t="str">
        <f t="shared" si="37"/>
        <v>NO</v>
      </c>
      <c r="U117" t="str">
        <f t="shared" si="37"/>
        <v>NO</v>
      </c>
      <c r="V117" t="str">
        <f t="shared" si="37"/>
        <v/>
      </c>
      <c r="W117" t="str">
        <f t="shared" si="29"/>
        <v/>
      </c>
      <c r="X117" s="1196" t="str">
        <f t="shared" si="30"/>
        <v/>
      </c>
      <c r="AG117" t="str">
        <f t="shared" si="38"/>
        <v>NO</v>
      </c>
      <c r="AH117" t="str">
        <f t="shared" si="38"/>
        <v>NO</v>
      </c>
      <c r="AI117" t="str">
        <f t="shared" si="38"/>
        <v>NO</v>
      </c>
      <c r="AJ117" t="str">
        <f t="shared" si="38"/>
        <v>NO</v>
      </c>
      <c r="AK117" t="str">
        <f t="shared" si="38"/>
        <v>NO</v>
      </c>
      <c r="AL117" t="str">
        <f t="shared" si="38"/>
        <v/>
      </c>
      <c r="AN117" s="1196" t="str">
        <f t="shared" si="32"/>
        <v/>
      </c>
      <c r="AW117" t="str">
        <f t="shared" si="39"/>
        <v>NO</v>
      </c>
      <c r="AX117" t="str">
        <f t="shared" si="39"/>
        <v>NO</v>
      </c>
      <c r="AY117" t="str">
        <f t="shared" si="39"/>
        <v>NO</v>
      </c>
      <c r="AZ117" t="str">
        <f t="shared" si="39"/>
        <v>NO</v>
      </c>
      <c r="BA117" t="str">
        <f t="shared" si="39"/>
        <v>NO</v>
      </c>
      <c r="BB117" t="str">
        <f t="shared" si="39"/>
        <v/>
      </c>
      <c r="BD117" s="1196" t="str">
        <f t="shared" si="34"/>
        <v/>
      </c>
      <c r="BQ117" s="1196" t="str">
        <f t="shared" si="35"/>
        <v/>
      </c>
    </row>
    <row r="118" spans="1:69" x14ac:dyDescent="0.35">
      <c r="A118" t="str">
        <f t="shared" si="36"/>
        <v>NO</v>
      </c>
      <c r="B118" t="str">
        <f t="shared" si="36"/>
        <v>NO</v>
      </c>
      <c r="C118" t="str">
        <f t="shared" si="36"/>
        <v>NO</v>
      </c>
      <c r="D118" t="str">
        <f t="shared" si="36"/>
        <v>NO</v>
      </c>
      <c r="E118" t="str">
        <f t="shared" si="36"/>
        <v>NO</v>
      </c>
      <c r="F118" t="str">
        <f t="shared" si="36"/>
        <v/>
      </c>
      <c r="H118" s="1196" t="str">
        <f t="shared" si="27"/>
        <v/>
      </c>
      <c r="Q118" t="str">
        <f t="shared" si="37"/>
        <v>NO</v>
      </c>
      <c r="R118" t="str">
        <f t="shared" si="37"/>
        <v>NO</v>
      </c>
      <c r="S118" t="str">
        <f t="shared" si="37"/>
        <v>NO</v>
      </c>
      <c r="T118" t="str">
        <f t="shared" si="37"/>
        <v>NO</v>
      </c>
      <c r="U118" t="str">
        <f t="shared" si="37"/>
        <v>NO</v>
      </c>
      <c r="V118" t="str">
        <f t="shared" si="37"/>
        <v/>
      </c>
      <c r="W118" t="str">
        <f t="shared" si="29"/>
        <v/>
      </c>
      <c r="X118" s="1196" t="str">
        <f t="shared" si="30"/>
        <v/>
      </c>
      <c r="AG118" t="str">
        <f t="shared" si="38"/>
        <v>NO</v>
      </c>
      <c r="AH118" t="str">
        <f t="shared" si="38"/>
        <v>NO</v>
      </c>
      <c r="AI118" t="str">
        <f t="shared" si="38"/>
        <v>NO</v>
      </c>
      <c r="AJ118" t="str">
        <f t="shared" si="38"/>
        <v>NO</v>
      </c>
      <c r="AK118" t="str">
        <f t="shared" si="38"/>
        <v>NO</v>
      </c>
      <c r="AL118" t="str">
        <f t="shared" si="38"/>
        <v/>
      </c>
      <c r="AN118" s="1196" t="str">
        <f t="shared" si="32"/>
        <v/>
      </c>
      <c r="AW118" t="str">
        <f t="shared" si="39"/>
        <v>NO</v>
      </c>
      <c r="AX118" t="str">
        <f t="shared" si="39"/>
        <v>NO</v>
      </c>
      <c r="AY118" t="str">
        <f t="shared" si="39"/>
        <v>NO</v>
      </c>
      <c r="AZ118" t="str">
        <f t="shared" si="39"/>
        <v>NO</v>
      </c>
      <c r="BA118" t="str">
        <f t="shared" si="39"/>
        <v>NO</v>
      </c>
      <c r="BB118" t="str">
        <f t="shared" si="39"/>
        <v/>
      </c>
      <c r="BD118" s="1196" t="str">
        <f t="shared" si="34"/>
        <v/>
      </c>
      <c r="BQ118" s="1196" t="str">
        <f t="shared" si="35"/>
        <v/>
      </c>
    </row>
    <row r="119" spans="1:69" x14ac:dyDescent="0.35">
      <c r="A119" t="str">
        <f t="shared" si="36"/>
        <v>NO</v>
      </c>
      <c r="B119" t="str">
        <f t="shared" si="36"/>
        <v>NO</v>
      </c>
      <c r="C119" t="str">
        <f t="shared" si="36"/>
        <v>NO</v>
      </c>
      <c r="D119" t="str">
        <f t="shared" si="36"/>
        <v>NO</v>
      </c>
      <c r="E119" t="str">
        <f t="shared" si="36"/>
        <v>NO</v>
      </c>
      <c r="F119" t="str">
        <f t="shared" si="36"/>
        <v/>
      </c>
      <c r="H119" s="1196" t="str">
        <f t="shared" si="27"/>
        <v/>
      </c>
      <c r="Q119" t="str">
        <f t="shared" si="37"/>
        <v>NO</v>
      </c>
      <c r="R119" t="str">
        <f t="shared" si="37"/>
        <v>NO</v>
      </c>
      <c r="S119" t="str">
        <f t="shared" si="37"/>
        <v>NO</v>
      </c>
      <c r="T119" t="str">
        <f t="shared" si="37"/>
        <v>NO</v>
      </c>
      <c r="U119" t="str">
        <f t="shared" si="37"/>
        <v>NO</v>
      </c>
      <c r="V119" t="str">
        <f t="shared" si="37"/>
        <v/>
      </c>
      <c r="W119" t="str">
        <f t="shared" si="29"/>
        <v/>
      </c>
      <c r="X119" s="1196" t="str">
        <f t="shared" si="30"/>
        <v/>
      </c>
      <c r="AG119" t="str">
        <f t="shared" si="38"/>
        <v>NO</v>
      </c>
      <c r="AH119" t="str">
        <f t="shared" si="38"/>
        <v>NO</v>
      </c>
      <c r="AI119" t="str">
        <f t="shared" si="38"/>
        <v>NO</v>
      </c>
      <c r="AJ119" t="str">
        <f t="shared" si="38"/>
        <v>NO</v>
      </c>
      <c r="AK119" t="str">
        <f t="shared" si="38"/>
        <v>NO</v>
      </c>
      <c r="AL119" t="str">
        <f t="shared" si="38"/>
        <v/>
      </c>
      <c r="AN119" s="1196" t="str">
        <f t="shared" si="32"/>
        <v/>
      </c>
      <c r="AW119" t="str">
        <f t="shared" si="39"/>
        <v>NO</v>
      </c>
      <c r="AX119" t="str">
        <f t="shared" si="39"/>
        <v>NO</v>
      </c>
      <c r="AY119" t="str">
        <f t="shared" si="39"/>
        <v>NO</v>
      </c>
      <c r="AZ119" t="str">
        <f t="shared" si="39"/>
        <v>NO</v>
      </c>
      <c r="BA119" t="str">
        <f t="shared" si="39"/>
        <v>NO</v>
      </c>
      <c r="BB119" t="str">
        <f t="shared" si="39"/>
        <v/>
      </c>
      <c r="BD119" s="1196" t="str">
        <f t="shared" si="34"/>
        <v/>
      </c>
      <c r="BQ119" s="1196" t="str">
        <f t="shared" si="35"/>
        <v/>
      </c>
    </row>
    <row r="120" spans="1:69" x14ac:dyDescent="0.35">
      <c r="A120" t="str">
        <f t="shared" si="36"/>
        <v>NO</v>
      </c>
      <c r="B120" t="str">
        <f t="shared" si="36"/>
        <v>NO</v>
      </c>
      <c r="C120" t="str">
        <f t="shared" si="36"/>
        <v>NO</v>
      </c>
      <c r="D120" t="str">
        <f t="shared" si="36"/>
        <v>NO</v>
      </c>
      <c r="E120" t="str">
        <f t="shared" si="36"/>
        <v>NO</v>
      </c>
      <c r="F120" t="str">
        <f t="shared" si="36"/>
        <v/>
      </c>
      <c r="H120" s="1196" t="str">
        <f t="shared" si="27"/>
        <v/>
      </c>
      <c r="Q120" t="str">
        <f t="shared" si="37"/>
        <v>NO</v>
      </c>
      <c r="R120" t="str">
        <f t="shared" si="37"/>
        <v>NO</v>
      </c>
      <c r="S120" t="str">
        <f t="shared" si="37"/>
        <v>NO</v>
      </c>
      <c r="T120" t="str">
        <f t="shared" si="37"/>
        <v>NO</v>
      </c>
      <c r="U120" t="str">
        <f t="shared" si="37"/>
        <v>NO</v>
      </c>
      <c r="V120" t="str">
        <f t="shared" si="37"/>
        <v/>
      </c>
      <c r="W120" t="str">
        <f t="shared" si="29"/>
        <v/>
      </c>
      <c r="X120" s="1196" t="str">
        <f t="shared" si="30"/>
        <v/>
      </c>
      <c r="AG120" t="str">
        <f t="shared" si="38"/>
        <v>NO</v>
      </c>
      <c r="AH120" t="str">
        <f t="shared" si="38"/>
        <v>NO</v>
      </c>
      <c r="AI120" t="str">
        <f t="shared" si="38"/>
        <v>NO</v>
      </c>
      <c r="AJ120" t="str">
        <f t="shared" si="38"/>
        <v>NO</v>
      </c>
      <c r="AK120" t="str">
        <f t="shared" si="38"/>
        <v>NO</v>
      </c>
      <c r="AL120" t="str">
        <f t="shared" si="38"/>
        <v/>
      </c>
      <c r="AN120" s="1196" t="str">
        <f t="shared" si="32"/>
        <v/>
      </c>
      <c r="AW120" t="str">
        <f t="shared" si="39"/>
        <v>NO</v>
      </c>
      <c r="AX120" t="str">
        <f t="shared" si="39"/>
        <v>NO</v>
      </c>
      <c r="AY120" t="str">
        <f t="shared" si="39"/>
        <v>NO</v>
      </c>
      <c r="AZ120" t="str">
        <f t="shared" si="39"/>
        <v>NO</v>
      </c>
      <c r="BA120" t="str">
        <f t="shared" si="39"/>
        <v>NO</v>
      </c>
      <c r="BB120" t="str">
        <f t="shared" si="39"/>
        <v/>
      </c>
      <c r="BD120" s="1196" t="str">
        <f t="shared" si="34"/>
        <v/>
      </c>
      <c r="BQ120" s="1196" t="str">
        <f t="shared" si="35"/>
        <v/>
      </c>
    </row>
    <row r="121" spans="1:69" x14ac:dyDescent="0.35">
      <c r="A121" t="str">
        <f t="shared" si="36"/>
        <v>NO</v>
      </c>
      <c r="B121" t="str">
        <f t="shared" si="36"/>
        <v>NO</v>
      </c>
      <c r="C121" t="str">
        <f t="shared" si="36"/>
        <v>NO</v>
      </c>
      <c r="D121" t="str">
        <f t="shared" si="36"/>
        <v>NO</v>
      </c>
      <c r="E121" t="str">
        <f t="shared" si="36"/>
        <v>NO</v>
      </c>
      <c r="F121" t="str">
        <f t="shared" si="36"/>
        <v/>
      </c>
      <c r="H121" s="1196" t="str">
        <f t="shared" si="27"/>
        <v/>
      </c>
      <c r="Q121" t="str">
        <f t="shared" si="37"/>
        <v>NO</v>
      </c>
      <c r="R121" t="str">
        <f t="shared" si="37"/>
        <v>NO</v>
      </c>
      <c r="S121" t="str">
        <f t="shared" si="37"/>
        <v>NO</v>
      </c>
      <c r="T121" t="str">
        <f t="shared" si="37"/>
        <v>NO</v>
      </c>
      <c r="U121" t="str">
        <f t="shared" si="37"/>
        <v>NO</v>
      </c>
      <c r="V121" t="str">
        <f t="shared" si="37"/>
        <v/>
      </c>
      <c r="W121" t="str">
        <f t="shared" si="29"/>
        <v/>
      </c>
      <c r="X121" s="1196" t="str">
        <f t="shared" si="30"/>
        <v/>
      </c>
      <c r="AG121" t="str">
        <f t="shared" si="38"/>
        <v>NO</v>
      </c>
      <c r="AH121" t="str">
        <f t="shared" si="38"/>
        <v>NO</v>
      </c>
      <c r="AI121" t="str">
        <f t="shared" si="38"/>
        <v>NO</v>
      </c>
      <c r="AJ121" t="str">
        <f t="shared" si="38"/>
        <v>NO</v>
      </c>
      <c r="AK121" t="str">
        <f t="shared" si="38"/>
        <v>NO</v>
      </c>
      <c r="AL121" t="str">
        <f t="shared" si="38"/>
        <v/>
      </c>
      <c r="AN121" s="1196" t="str">
        <f t="shared" si="32"/>
        <v/>
      </c>
      <c r="AW121" t="str">
        <f t="shared" si="39"/>
        <v>NO</v>
      </c>
      <c r="AX121" t="str">
        <f t="shared" si="39"/>
        <v>NO</v>
      </c>
      <c r="AY121" t="str">
        <f t="shared" si="39"/>
        <v>NO</v>
      </c>
      <c r="AZ121" t="str">
        <f t="shared" si="39"/>
        <v>NO</v>
      </c>
      <c r="BA121" t="str">
        <f t="shared" si="39"/>
        <v>NO</v>
      </c>
      <c r="BB121" t="str">
        <f t="shared" si="39"/>
        <v/>
      </c>
      <c r="BD121" s="1196" t="str">
        <f t="shared" si="34"/>
        <v/>
      </c>
      <c r="BQ121" s="1196" t="str">
        <f t="shared" si="35"/>
        <v/>
      </c>
    </row>
    <row r="122" spans="1:69" x14ac:dyDescent="0.35">
      <c r="A122" t="str">
        <f t="shared" si="36"/>
        <v>NO</v>
      </c>
      <c r="B122" t="str">
        <f t="shared" si="36"/>
        <v>NO</v>
      </c>
      <c r="C122" t="str">
        <f t="shared" si="36"/>
        <v>NO</v>
      </c>
      <c r="D122" t="str">
        <f t="shared" si="36"/>
        <v>NO</v>
      </c>
      <c r="E122" t="str">
        <f t="shared" si="36"/>
        <v>NO</v>
      </c>
      <c r="F122" t="str">
        <f t="shared" si="36"/>
        <v/>
      </c>
      <c r="H122" s="1196" t="str">
        <f t="shared" si="27"/>
        <v/>
      </c>
      <c r="Q122" t="str">
        <f t="shared" si="37"/>
        <v>NO</v>
      </c>
      <c r="R122" t="str">
        <f t="shared" si="37"/>
        <v>NO</v>
      </c>
      <c r="S122" t="str">
        <f t="shared" si="37"/>
        <v>NO</v>
      </c>
      <c r="T122" t="str">
        <f t="shared" si="37"/>
        <v>NO</v>
      </c>
      <c r="U122" t="str">
        <f t="shared" si="37"/>
        <v>NO</v>
      </c>
      <c r="V122" t="str">
        <f t="shared" si="37"/>
        <v/>
      </c>
      <c r="W122" t="str">
        <f t="shared" si="29"/>
        <v/>
      </c>
      <c r="X122" s="1196" t="str">
        <f t="shared" si="30"/>
        <v/>
      </c>
      <c r="AG122" t="str">
        <f t="shared" si="38"/>
        <v>NO</v>
      </c>
      <c r="AH122" t="str">
        <f t="shared" si="38"/>
        <v>NO</v>
      </c>
      <c r="AI122" t="str">
        <f t="shared" si="38"/>
        <v>NO</v>
      </c>
      <c r="AJ122" t="str">
        <f t="shared" si="38"/>
        <v>NO</v>
      </c>
      <c r="AK122" t="str">
        <f t="shared" si="38"/>
        <v>NO</v>
      </c>
      <c r="AL122" t="str">
        <f t="shared" si="38"/>
        <v/>
      </c>
      <c r="AN122" s="1196" t="str">
        <f t="shared" si="32"/>
        <v/>
      </c>
      <c r="AW122" t="str">
        <f t="shared" si="39"/>
        <v>NO</v>
      </c>
      <c r="AX122" t="str">
        <f t="shared" si="39"/>
        <v>NO</v>
      </c>
      <c r="AY122" t="str">
        <f t="shared" si="39"/>
        <v>NO</v>
      </c>
      <c r="AZ122" t="str">
        <f t="shared" si="39"/>
        <v>NO</v>
      </c>
      <c r="BA122" t="str">
        <f t="shared" si="39"/>
        <v>NO</v>
      </c>
      <c r="BB122" t="str">
        <f t="shared" si="39"/>
        <v/>
      </c>
      <c r="BD122" s="1196" t="str">
        <f t="shared" si="34"/>
        <v/>
      </c>
      <c r="BQ122" s="1196" t="str">
        <f t="shared" si="35"/>
        <v/>
      </c>
    </row>
    <row r="123" spans="1:69" x14ac:dyDescent="0.35">
      <c r="A123" t="str">
        <f t="shared" si="36"/>
        <v>NO</v>
      </c>
      <c r="B123" t="str">
        <f t="shared" si="36"/>
        <v>NO</v>
      </c>
      <c r="C123" t="str">
        <f t="shared" si="36"/>
        <v>NO</v>
      </c>
      <c r="D123" t="str">
        <f t="shared" si="36"/>
        <v>NO</v>
      </c>
      <c r="E123" t="str">
        <f t="shared" si="36"/>
        <v>NO</v>
      </c>
      <c r="F123" t="str">
        <f t="shared" si="36"/>
        <v/>
      </c>
      <c r="H123" s="1196" t="str">
        <f t="shared" si="27"/>
        <v/>
      </c>
      <c r="Q123" t="str">
        <f t="shared" si="37"/>
        <v>NO</v>
      </c>
      <c r="R123" t="str">
        <f t="shared" si="37"/>
        <v>NO</v>
      </c>
      <c r="S123" t="str">
        <f t="shared" si="37"/>
        <v>NO</v>
      </c>
      <c r="T123" t="str">
        <f t="shared" si="37"/>
        <v>NO</v>
      </c>
      <c r="U123" t="str">
        <f t="shared" si="37"/>
        <v>NO</v>
      </c>
      <c r="V123" t="str">
        <f t="shared" si="37"/>
        <v/>
      </c>
      <c r="W123" t="str">
        <f t="shared" si="29"/>
        <v/>
      </c>
      <c r="X123" s="1196" t="str">
        <f t="shared" si="30"/>
        <v/>
      </c>
      <c r="AG123" t="str">
        <f t="shared" si="38"/>
        <v>NO</v>
      </c>
      <c r="AH123" t="str">
        <f t="shared" si="38"/>
        <v>NO</v>
      </c>
      <c r="AI123" t="str">
        <f t="shared" si="38"/>
        <v>NO</v>
      </c>
      <c r="AJ123" t="str">
        <f t="shared" si="38"/>
        <v>NO</v>
      </c>
      <c r="AK123" t="str">
        <f t="shared" si="38"/>
        <v>NO</v>
      </c>
      <c r="AL123" t="str">
        <f t="shared" si="38"/>
        <v/>
      </c>
      <c r="AN123" s="1196" t="str">
        <f t="shared" si="32"/>
        <v/>
      </c>
      <c r="AW123" t="str">
        <f t="shared" si="39"/>
        <v>NO</v>
      </c>
      <c r="AX123" t="str">
        <f t="shared" si="39"/>
        <v>NO</v>
      </c>
      <c r="AY123" t="str">
        <f t="shared" si="39"/>
        <v>NO</v>
      </c>
      <c r="AZ123" t="str">
        <f t="shared" si="39"/>
        <v>NO</v>
      </c>
      <c r="BA123" t="str">
        <f t="shared" si="39"/>
        <v>NO</v>
      </c>
      <c r="BB123" t="str">
        <f t="shared" si="39"/>
        <v/>
      </c>
      <c r="BD123" s="1196" t="str">
        <f t="shared" si="34"/>
        <v/>
      </c>
      <c r="BQ123" s="1196" t="str">
        <f t="shared" si="35"/>
        <v/>
      </c>
    </row>
    <row r="124" spans="1:69" x14ac:dyDescent="0.35">
      <c r="A124" t="str">
        <f t="shared" si="36"/>
        <v>NO</v>
      </c>
      <c r="B124" t="str">
        <f t="shared" si="36"/>
        <v>NO</v>
      </c>
      <c r="C124" t="str">
        <f t="shared" si="36"/>
        <v>NO</v>
      </c>
      <c r="D124" t="str">
        <f t="shared" si="36"/>
        <v>NO</v>
      </c>
      <c r="E124" t="str">
        <f t="shared" si="36"/>
        <v>NO</v>
      </c>
      <c r="F124" t="str">
        <f t="shared" si="36"/>
        <v/>
      </c>
      <c r="H124" s="1196" t="str">
        <f t="shared" si="27"/>
        <v/>
      </c>
      <c r="Q124" t="str">
        <f t="shared" si="37"/>
        <v>NO</v>
      </c>
      <c r="R124" t="str">
        <f t="shared" si="37"/>
        <v>NO</v>
      </c>
      <c r="S124" t="str">
        <f t="shared" si="37"/>
        <v>NO</v>
      </c>
      <c r="T124" t="str">
        <f t="shared" si="37"/>
        <v>NO</v>
      </c>
      <c r="U124" t="str">
        <f t="shared" si="37"/>
        <v>NO</v>
      </c>
      <c r="V124" t="str">
        <f t="shared" si="37"/>
        <v/>
      </c>
      <c r="W124" t="str">
        <f t="shared" si="29"/>
        <v/>
      </c>
      <c r="X124" s="1196" t="str">
        <f t="shared" si="30"/>
        <v/>
      </c>
      <c r="AG124" t="str">
        <f t="shared" si="38"/>
        <v>NO</v>
      </c>
      <c r="AH124" t="str">
        <f t="shared" si="38"/>
        <v>NO</v>
      </c>
      <c r="AI124" t="str">
        <f t="shared" si="38"/>
        <v>NO</v>
      </c>
      <c r="AJ124" t="str">
        <f t="shared" si="38"/>
        <v>NO</v>
      </c>
      <c r="AK124" t="str">
        <f t="shared" si="38"/>
        <v>NO</v>
      </c>
      <c r="AL124" t="str">
        <f t="shared" si="38"/>
        <v/>
      </c>
      <c r="AN124" s="1196" t="str">
        <f t="shared" si="32"/>
        <v/>
      </c>
      <c r="AW124" t="str">
        <f t="shared" si="39"/>
        <v>NO</v>
      </c>
      <c r="AX124" t="str">
        <f t="shared" si="39"/>
        <v>NO</v>
      </c>
      <c r="AY124" t="str">
        <f t="shared" si="39"/>
        <v>NO</v>
      </c>
      <c r="AZ124" t="str">
        <f t="shared" si="39"/>
        <v>NO</v>
      </c>
      <c r="BA124" t="str">
        <f t="shared" si="39"/>
        <v>NO</v>
      </c>
      <c r="BB124" t="str">
        <f t="shared" si="39"/>
        <v/>
      </c>
      <c r="BD124" s="1196" t="str">
        <f t="shared" si="34"/>
        <v/>
      </c>
      <c r="BQ124" s="1196" t="str">
        <f t="shared" si="35"/>
        <v/>
      </c>
    </row>
    <row r="125" spans="1:69" x14ac:dyDescent="0.35">
      <c r="A125" t="str">
        <f t="shared" si="36"/>
        <v>NO</v>
      </c>
      <c r="B125" t="str">
        <f t="shared" si="36"/>
        <v>NO</v>
      </c>
      <c r="C125" t="str">
        <f t="shared" si="36"/>
        <v>NO</v>
      </c>
      <c r="D125" t="str">
        <f t="shared" si="36"/>
        <v>NO</v>
      </c>
      <c r="E125" t="str">
        <f t="shared" si="36"/>
        <v>NO</v>
      </c>
      <c r="F125" t="str">
        <f t="shared" si="36"/>
        <v/>
      </c>
      <c r="H125" s="1196" t="str">
        <f t="shared" si="27"/>
        <v/>
      </c>
      <c r="Q125" t="str">
        <f t="shared" si="37"/>
        <v>NO</v>
      </c>
      <c r="R125" t="str">
        <f t="shared" si="37"/>
        <v>NO</v>
      </c>
      <c r="S125" t="str">
        <f t="shared" si="37"/>
        <v>NO</v>
      </c>
      <c r="T125" t="str">
        <f t="shared" si="37"/>
        <v>NO</v>
      </c>
      <c r="U125" t="str">
        <f t="shared" si="37"/>
        <v>NO</v>
      </c>
      <c r="V125" t="str">
        <f t="shared" si="37"/>
        <v/>
      </c>
      <c r="W125" t="str">
        <f t="shared" si="29"/>
        <v/>
      </c>
      <c r="X125" s="1196" t="str">
        <f t="shared" si="30"/>
        <v/>
      </c>
      <c r="AG125" t="str">
        <f t="shared" si="38"/>
        <v>NO</v>
      </c>
      <c r="AH125" t="str">
        <f t="shared" si="38"/>
        <v>NO</v>
      </c>
      <c r="AI125" t="str">
        <f t="shared" si="38"/>
        <v>NO</v>
      </c>
      <c r="AJ125" t="str">
        <f t="shared" si="38"/>
        <v>NO</v>
      </c>
      <c r="AK125" t="str">
        <f t="shared" si="38"/>
        <v>NO</v>
      </c>
      <c r="AL125" t="str">
        <f t="shared" si="38"/>
        <v/>
      </c>
      <c r="AN125" s="1196" t="str">
        <f t="shared" si="32"/>
        <v/>
      </c>
      <c r="AW125" t="str">
        <f t="shared" si="39"/>
        <v>NO</v>
      </c>
      <c r="AX125" t="str">
        <f t="shared" si="39"/>
        <v>NO</v>
      </c>
      <c r="AY125" t="str">
        <f t="shared" si="39"/>
        <v>NO</v>
      </c>
      <c r="AZ125" t="str">
        <f t="shared" si="39"/>
        <v>NO</v>
      </c>
      <c r="BA125" t="str">
        <f t="shared" si="39"/>
        <v>NO</v>
      </c>
      <c r="BB125" t="str">
        <f t="shared" si="39"/>
        <v/>
      </c>
      <c r="BD125" s="1196" t="str">
        <f t="shared" si="34"/>
        <v/>
      </c>
      <c r="BQ125" s="1196" t="str">
        <f t="shared" si="35"/>
        <v/>
      </c>
    </row>
  </sheetData>
  <mergeCells count="5">
    <mergeCell ref="H1:O1"/>
    <mergeCell ref="X1:AE1"/>
    <mergeCell ref="AN1:AU1"/>
    <mergeCell ref="BN1:BP1"/>
    <mergeCell ref="BD1:BK1"/>
  </mergeCells>
  <pageMargins left="0.7" right="0.7" top="0.75" bottom="0.75" header="0.3" footer="0.3"/>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FC560-0C0D-4542-95E7-39D345CFD319}">
  <sheetPr codeName="Foglio33"/>
  <dimension ref="A1:U179"/>
  <sheetViews>
    <sheetView topLeftCell="A11" zoomScale="80" zoomScaleNormal="80" workbookViewId="0">
      <selection activeCell="B16" sqref="B16"/>
    </sheetView>
  </sheetViews>
  <sheetFormatPr defaultRowHeight="14.5" x14ac:dyDescent="0.35"/>
  <cols>
    <col min="1" max="1" width="3.453125" customWidth="1"/>
    <col min="2" max="2" width="27" customWidth="1"/>
    <col min="3" max="3" width="14.7265625" customWidth="1"/>
    <col min="4" max="4" width="14.7265625" bestFit="1" customWidth="1"/>
    <col min="5" max="5" width="15.453125" customWidth="1"/>
    <col min="6" max="6" width="14.7265625" customWidth="1"/>
    <col min="7" max="7" width="15.81640625" customWidth="1"/>
    <col min="8" max="8" width="18.7265625" customWidth="1"/>
    <col min="9" max="9" width="23.453125" customWidth="1"/>
    <col min="10" max="10" width="30.7265625" customWidth="1"/>
    <col min="11" max="11" width="40.453125" customWidth="1"/>
    <col min="12" max="12" width="11.54296875" customWidth="1"/>
    <col min="13" max="13" width="11.453125" customWidth="1"/>
    <col min="14" max="14" width="10.54296875" customWidth="1"/>
    <col min="15" max="16" width="9.7265625" bestFit="1" customWidth="1"/>
    <col min="19" max="19" width="9.7265625" bestFit="1" customWidth="1"/>
    <col min="20" max="20" width="8.54296875" customWidth="1"/>
    <col min="21" max="21" width="9.1796875" style="989"/>
  </cols>
  <sheetData>
    <row r="1" spans="1:20" ht="15" thickBot="1" x14ac:dyDescent="0.4">
      <c r="A1" s="860"/>
      <c r="B1" s="860"/>
      <c r="C1" s="860"/>
      <c r="D1" s="860"/>
      <c r="E1" s="860"/>
      <c r="F1" s="860"/>
      <c r="G1" s="860"/>
      <c r="H1" s="860"/>
      <c r="I1" s="860"/>
      <c r="J1" s="860"/>
      <c r="K1" s="860"/>
      <c r="L1" s="989"/>
      <c r="M1" s="989"/>
      <c r="N1" s="989"/>
      <c r="O1" s="989"/>
      <c r="P1" s="989"/>
      <c r="Q1" s="989"/>
      <c r="R1" s="989"/>
      <c r="S1" s="989"/>
      <c r="T1" s="989"/>
    </row>
    <row r="2" spans="1:20" ht="21" x14ac:dyDescent="0.35">
      <c r="A2" s="860" t="s">
        <v>626</v>
      </c>
      <c r="B2" s="2147" t="s">
        <v>2337</v>
      </c>
      <c r="C2" s="2148"/>
      <c r="D2" s="2148"/>
      <c r="E2" s="2148"/>
      <c r="F2" s="2148"/>
      <c r="G2" s="2148"/>
      <c r="H2" s="2148"/>
      <c r="I2" s="2148"/>
      <c r="J2" s="2148"/>
      <c r="K2" s="2149"/>
      <c r="L2" s="989"/>
      <c r="M2" s="989"/>
      <c r="N2" s="989"/>
      <c r="O2" s="989"/>
      <c r="P2" s="989"/>
      <c r="Q2" s="989"/>
      <c r="R2" s="989"/>
      <c r="S2" s="989"/>
      <c r="T2" s="989"/>
    </row>
    <row r="3" spans="1:20" x14ac:dyDescent="0.35">
      <c r="A3" s="860"/>
      <c r="B3" s="933"/>
      <c r="C3" s="934"/>
      <c r="D3" s="934"/>
      <c r="E3" s="934"/>
      <c r="F3" s="934"/>
      <c r="G3" s="934"/>
      <c r="H3" s="934"/>
      <c r="I3" s="934"/>
      <c r="J3" s="934"/>
      <c r="K3" s="935"/>
      <c r="L3" s="989"/>
      <c r="M3" s="989"/>
      <c r="N3" s="989"/>
      <c r="O3" s="989"/>
      <c r="P3" s="989"/>
      <c r="Q3" s="989"/>
      <c r="R3" s="989"/>
      <c r="S3" s="989"/>
      <c r="T3" s="989"/>
    </row>
    <row r="4" spans="1:20" x14ac:dyDescent="0.35">
      <c r="A4" s="860"/>
      <c r="B4" s="936" t="s">
        <v>2129</v>
      </c>
      <c r="C4" s="2136">
        <f>+Anagrafica!$C$6</f>
        <v>0</v>
      </c>
      <c r="D4" s="2136"/>
      <c r="E4" s="2136"/>
      <c r="F4" s="2136"/>
      <c r="G4" s="937" t="s">
        <v>2130</v>
      </c>
      <c r="H4" s="979">
        <f>+Anagrafica!$C$2</f>
        <v>0</v>
      </c>
      <c r="I4" s="979"/>
      <c r="J4" s="1004" t="s">
        <v>1</v>
      </c>
      <c r="K4" s="938" t="str">
        <f>+Anagrafica!$G$2</f>
        <v>Capo III</v>
      </c>
      <c r="L4" s="989"/>
      <c r="M4" s="989"/>
      <c r="N4" s="989"/>
      <c r="O4" s="989"/>
      <c r="P4" s="989"/>
      <c r="Q4" s="989"/>
      <c r="R4" s="989"/>
      <c r="S4" s="989"/>
      <c r="T4" s="989"/>
    </row>
    <row r="5" spans="1:20" x14ac:dyDescent="0.35">
      <c r="A5" s="860"/>
      <c r="B5" s="939"/>
      <c r="C5" s="860"/>
      <c r="D5" s="860"/>
      <c r="E5" s="860"/>
      <c r="F5" s="860"/>
      <c r="G5" s="860"/>
      <c r="H5" s="860"/>
      <c r="I5" s="860"/>
      <c r="J5" s="860"/>
      <c r="K5" s="940"/>
      <c r="L5" s="989"/>
      <c r="M5" s="989"/>
      <c r="N5" s="989"/>
      <c r="O5" s="989"/>
      <c r="P5" s="989"/>
      <c r="Q5" s="989"/>
      <c r="R5" s="989"/>
      <c r="S5" s="989"/>
      <c r="T5" s="989"/>
    </row>
    <row r="6" spans="1:20" x14ac:dyDescent="0.35">
      <c r="A6" s="860"/>
      <c r="B6" s="2150" t="s">
        <v>2189</v>
      </c>
      <c r="C6" s="2151"/>
      <c r="D6" s="2151"/>
      <c r="E6" s="2151"/>
      <c r="F6" s="2151"/>
      <c r="G6" s="2151"/>
      <c r="H6" s="2152" t="str">
        <f>+Anagrafica!C5</f>
        <v>Legale Rappresentante</v>
      </c>
      <c r="I6" s="2152"/>
      <c r="J6" s="2152"/>
      <c r="K6" s="2153"/>
      <c r="L6" s="989"/>
      <c r="M6" s="989"/>
      <c r="N6" s="989"/>
      <c r="O6" s="989"/>
      <c r="P6" s="989"/>
      <c r="Q6" s="989"/>
      <c r="R6" s="989"/>
      <c r="S6" s="989"/>
      <c r="T6" s="989"/>
    </row>
    <row r="7" spans="1:20" x14ac:dyDescent="0.35">
      <c r="A7" s="860"/>
      <c r="B7" s="939"/>
      <c r="C7" s="860"/>
      <c r="D7" s="860"/>
      <c r="E7" s="860"/>
      <c r="F7" s="860"/>
      <c r="G7" s="860"/>
      <c r="H7" s="860"/>
      <c r="I7" s="860"/>
      <c r="J7" s="860"/>
      <c r="K7" s="940"/>
      <c r="L7" s="989"/>
      <c r="M7" s="989"/>
      <c r="N7" s="989"/>
      <c r="O7" s="989"/>
      <c r="P7" s="989"/>
      <c r="Q7" s="989"/>
      <c r="R7" s="989"/>
      <c r="S7" s="989"/>
      <c r="T7" s="989"/>
    </row>
    <row r="8" spans="1:20" x14ac:dyDescent="0.35">
      <c r="A8" s="860"/>
      <c r="B8" s="2154" t="str">
        <f>+IF(OR(Anagrafica!C3="",Anagrafica!C4=""),"",CONCATENATE(Anagrafica!C3," codice fiscale ",Anagrafica!C4))</f>
        <v/>
      </c>
      <c r="C8" s="2152"/>
      <c r="D8" s="2152"/>
      <c r="E8" s="2152"/>
      <c r="F8" s="2152"/>
      <c r="G8" s="2152"/>
      <c r="H8" s="2152"/>
      <c r="I8" s="2152"/>
      <c r="J8" s="2152"/>
      <c r="K8" s="2153"/>
      <c r="L8" s="989"/>
      <c r="M8" s="989"/>
      <c r="N8" s="989"/>
      <c r="O8" s="989"/>
      <c r="P8" s="989"/>
      <c r="Q8" s="989"/>
      <c r="R8" s="989"/>
      <c r="S8" s="989"/>
      <c r="T8" s="989"/>
    </row>
    <row r="9" spans="1:20" x14ac:dyDescent="0.35">
      <c r="A9" s="860"/>
      <c r="B9" s="939"/>
      <c r="C9" s="860"/>
      <c r="D9" s="860"/>
      <c r="E9" s="860"/>
      <c r="F9" s="860"/>
      <c r="G9" s="860"/>
      <c r="H9" s="860"/>
      <c r="I9" s="860"/>
      <c r="J9" s="860"/>
      <c r="K9" s="940"/>
      <c r="L9" s="989"/>
      <c r="M9" s="989"/>
      <c r="N9" s="989"/>
      <c r="O9" s="989"/>
      <c r="P9" s="989"/>
      <c r="Q9" s="989"/>
      <c r="R9" s="989"/>
      <c r="S9" s="989"/>
      <c r="T9" s="989"/>
    </row>
    <row r="10" spans="1:20" x14ac:dyDescent="0.35">
      <c r="A10" s="860"/>
      <c r="B10" s="2155" t="s">
        <v>2132</v>
      </c>
      <c r="C10" s="2157" t="str">
        <f>+IF(OR(Anagrafica!C7="",Anagrafica!C8="",Anagrafica!H8=""),"",CONCATENATE(Anagrafica!C7," - ",Anagrafica!C8," (",Anagrafica!H8,")"))</f>
        <v/>
      </c>
      <c r="D10" s="2157"/>
      <c r="E10" s="2157"/>
      <c r="F10" s="2157"/>
      <c r="G10" s="2157"/>
      <c r="H10" s="2157"/>
      <c r="I10" s="2157"/>
      <c r="J10" s="2157"/>
      <c r="K10" s="2158"/>
      <c r="L10" s="989"/>
      <c r="M10" s="989"/>
      <c r="N10" s="989"/>
      <c r="O10" s="989"/>
      <c r="P10" s="989"/>
      <c r="Q10" s="989"/>
      <c r="R10" s="989"/>
      <c r="S10" s="989"/>
      <c r="T10" s="989"/>
    </row>
    <row r="11" spans="1:20" x14ac:dyDescent="0.35">
      <c r="A11" s="860"/>
      <c r="B11" s="2156"/>
      <c r="C11" s="2159"/>
      <c r="D11" s="2159"/>
      <c r="E11" s="2159"/>
      <c r="F11" s="2159"/>
      <c r="G11" s="2159"/>
      <c r="H11" s="2159"/>
      <c r="I11" s="2159"/>
      <c r="J11" s="2159"/>
      <c r="K11" s="2160"/>
      <c r="L11" s="989"/>
      <c r="M11" s="989"/>
      <c r="N11" s="989"/>
      <c r="O11" s="989"/>
      <c r="P11" s="989"/>
      <c r="Q11" s="989"/>
      <c r="R11" s="989"/>
      <c r="S11" s="989"/>
      <c r="T11" s="989"/>
    </row>
    <row r="12" spans="1:20" x14ac:dyDescent="0.35">
      <c r="A12" s="860"/>
      <c r="B12" s="941"/>
      <c r="C12" s="860"/>
      <c r="D12" s="860"/>
      <c r="E12" s="860"/>
      <c r="F12" s="860"/>
      <c r="G12" s="860"/>
      <c r="H12" s="860"/>
      <c r="I12" s="860"/>
      <c r="J12" s="860"/>
      <c r="K12" s="940"/>
      <c r="L12" s="989"/>
      <c r="M12" s="989"/>
      <c r="N12" s="989"/>
      <c r="O12" s="989"/>
      <c r="P12" s="989"/>
      <c r="Q12" s="989"/>
      <c r="R12" s="989"/>
      <c r="S12" s="989"/>
      <c r="T12" s="989"/>
    </row>
    <row r="13" spans="1:20" x14ac:dyDescent="0.35">
      <c r="A13" s="860"/>
      <c r="B13" s="936" t="s">
        <v>2049</v>
      </c>
      <c r="C13" s="2136">
        <f>+Anagrafica!C11</f>
        <v>0</v>
      </c>
      <c r="D13" s="2136"/>
      <c r="E13" s="860"/>
      <c r="F13" s="937" t="s">
        <v>2133</v>
      </c>
      <c r="G13" s="2136" t="str">
        <f>+IF(OR(Anagrafica!C12="",Anagrafica!E12=""),"",CONCATENATE(Anagrafica!E12," al N° ",Anagrafica!C12))</f>
        <v>Roma al N° 123456</v>
      </c>
      <c r="H13" s="2136"/>
      <c r="I13" s="2136"/>
      <c r="J13" s="2136"/>
      <c r="K13" s="2137"/>
      <c r="L13" s="989"/>
      <c r="M13" s="989"/>
      <c r="N13" s="989"/>
      <c r="O13" s="989"/>
      <c r="P13" s="989"/>
      <c r="Q13" s="989"/>
      <c r="R13" s="989"/>
      <c r="S13" s="989"/>
      <c r="T13" s="989"/>
    </row>
    <row r="14" spans="1:20" x14ac:dyDescent="0.35">
      <c r="A14" s="860"/>
      <c r="B14" s="941"/>
      <c r="C14" s="860"/>
      <c r="D14" s="860"/>
      <c r="E14" s="860"/>
      <c r="F14" s="860"/>
      <c r="G14" s="860"/>
      <c r="H14" s="860"/>
      <c r="I14" s="860"/>
      <c r="J14" s="860"/>
      <c r="K14" s="940"/>
      <c r="L14" s="989"/>
      <c r="M14" s="989"/>
      <c r="N14" s="989"/>
      <c r="O14" s="989"/>
      <c r="P14" s="989"/>
      <c r="Q14" s="989"/>
      <c r="R14" s="989"/>
      <c r="S14" s="989"/>
      <c r="T14" s="989"/>
    </row>
    <row r="15" spans="1:20" x14ac:dyDescent="0.35">
      <c r="A15" s="860"/>
      <c r="B15" s="936" t="s">
        <v>2048</v>
      </c>
      <c r="C15" s="2136" t="str">
        <f>+IF(Anagrafica!C9="","",Anagrafica!C9)</f>
        <v/>
      </c>
      <c r="D15" s="2136"/>
      <c r="E15" s="2136"/>
      <c r="F15" s="2136"/>
      <c r="G15" s="2136"/>
      <c r="H15" s="2136"/>
      <c r="I15" s="2136"/>
      <c r="J15" s="2136"/>
      <c r="K15" s="2137"/>
      <c r="L15" s="989"/>
      <c r="M15" s="989"/>
      <c r="N15" s="989"/>
      <c r="O15" s="989"/>
      <c r="P15" s="989"/>
      <c r="Q15" s="989"/>
      <c r="R15" s="989"/>
      <c r="S15" s="989"/>
      <c r="T15" s="989"/>
    </row>
    <row r="16" spans="1:20" ht="18.5" x14ac:dyDescent="0.35">
      <c r="A16" s="860"/>
      <c r="B16" s="2138" t="s">
        <v>2338</v>
      </c>
      <c r="C16" s="2139"/>
      <c r="D16" s="2139"/>
      <c r="E16" s="2139"/>
      <c r="F16" s="2139"/>
      <c r="G16" s="2139"/>
      <c r="H16" s="2139"/>
      <c r="I16" s="2139"/>
      <c r="J16" s="2139"/>
      <c r="K16" s="2140"/>
      <c r="L16" s="989"/>
      <c r="M16" s="989"/>
      <c r="N16" s="989"/>
      <c r="O16" s="989"/>
      <c r="P16" s="989"/>
      <c r="Q16" s="989"/>
      <c r="R16" s="989"/>
      <c r="S16" s="989"/>
      <c r="T16" s="989"/>
    </row>
    <row r="17" spans="1:20" x14ac:dyDescent="0.35">
      <c r="A17" s="860"/>
      <c r="B17" s="939" t="s">
        <v>2135</v>
      </c>
      <c r="C17" s="942" t="str">
        <f>+IF(F74=0,"",F74)</f>
        <v/>
      </c>
      <c r="D17" s="943" t="s">
        <v>2136</v>
      </c>
      <c r="E17" s="944" t="str">
        <f>+IFERROR(IF(C17="","",C17/K17),"")</f>
        <v/>
      </c>
      <c r="F17" s="860" t="s">
        <v>2191</v>
      </c>
      <c r="G17" s="860"/>
      <c r="H17" s="945"/>
      <c r="I17" s="945"/>
      <c r="J17" s="860"/>
      <c r="K17" s="946" t="str">
        <f>IF(Anagrafica!C38=0,"",Anagrafica!C30)</f>
        <v/>
      </c>
      <c r="L17" s="989"/>
      <c r="M17" s="989"/>
      <c r="N17" s="989"/>
      <c r="O17" s="989"/>
      <c r="P17" s="989"/>
      <c r="Q17" s="989"/>
      <c r="R17" s="989"/>
      <c r="S17" s="989"/>
      <c r="T17" s="989"/>
    </row>
    <row r="18" spans="1:20" x14ac:dyDescent="0.35">
      <c r="A18" s="860"/>
      <c r="B18" s="939" t="s">
        <v>2192</v>
      </c>
      <c r="C18" s="860"/>
      <c r="D18" s="860"/>
      <c r="E18" s="860"/>
      <c r="F18" s="860"/>
      <c r="G18" s="860"/>
      <c r="H18" s="860"/>
      <c r="I18" s="860"/>
      <c r="J18" s="860"/>
      <c r="K18" s="940"/>
      <c r="L18" s="989"/>
      <c r="M18" s="989"/>
      <c r="N18" s="989"/>
      <c r="O18" s="989"/>
      <c r="P18" s="989"/>
      <c r="Q18" s="989"/>
      <c r="R18" s="989"/>
      <c r="S18" s="989"/>
      <c r="T18" s="989"/>
    </row>
    <row r="19" spans="1:20" x14ac:dyDescent="0.35">
      <c r="A19" s="860"/>
      <c r="B19" s="947" t="s">
        <v>2193</v>
      </c>
      <c r="C19" s="948"/>
      <c r="D19" s="948"/>
      <c r="E19" s="949" t="str" cm="1">
        <f t="array" aca="1" ref="E19" ca="1">IFERROR(SUMIFS(Imponibilesalunico,Quietanzasal4,"SI"),"")</f>
        <v/>
      </c>
      <c r="F19" s="860"/>
      <c r="G19" s="860"/>
      <c r="H19" s="860"/>
      <c r="I19" s="860"/>
      <c r="J19" s="860"/>
      <c r="K19" s="940"/>
      <c r="L19" s="989"/>
      <c r="M19" s="989"/>
      <c r="N19" s="989"/>
      <c r="O19" s="989"/>
      <c r="P19" s="989"/>
      <c r="Q19" s="989"/>
      <c r="R19" s="989"/>
      <c r="S19" s="989"/>
      <c r="T19" s="989"/>
    </row>
    <row r="20" spans="1:20" x14ac:dyDescent="0.35">
      <c r="A20" s="860"/>
      <c r="B20" s="2144" t="str">
        <f>+CONCATENATE("La somma eventualmente erogata dovrà essere accreditata sul c/c bancario intestato alla Società istituito presso l'istituto di credito ",Anagrafica!C46," - Filiale/Agenzia ",+Anagrafica!C47)</f>
        <v>La somma eventualmente erogata dovrà essere accreditata sul c/c bancario intestato alla Società istituito presso l'istituto di credito BANCA SELLA - Filiale/Agenzia AGENZIA 30</v>
      </c>
      <c r="C20" s="2145"/>
      <c r="D20" s="2145"/>
      <c r="E20" s="2145"/>
      <c r="F20" s="2145"/>
      <c r="G20" s="2145"/>
      <c r="H20" s="2145"/>
      <c r="I20" s="2145"/>
      <c r="J20" s="2145"/>
      <c r="K20" s="2146"/>
      <c r="L20" s="989"/>
      <c r="M20" s="989"/>
      <c r="N20" s="989"/>
      <c r="O20" s="989"/>
      <c r="P20" s="989"/>
      <c r="Q20" s="989"/>
      <c r="R20" s="989"/>
      <c r="S20" s="989"/>
      <c r="T20" s="989"/>
    </row>
    <row r="21" spans="1:20" x14ac:dyDescent="0.35">
      <c r="A21" s="860"/>
      <c r="B21" s="2141" t="str">
        <f>+CONCATENATE("IBAN di riferimento - ",Anagrafica!C50,Anagrafica!D50,Anagrafica!E50,Anagrafica!F50,Anagrafica!G50,Anagrafica!H50)</f>
        <v>IBAN di riferimento - IT</v>
      </c>
      <c r="C21" s="2142"/>
      <c r="D21" s="2142"/>
      <c r="E21" s="2142"/>
      <c r="F21" s="2142"/>
      <c r="G21" s="2142"/>
      <c r="H21" s="2142"/>
      <c r="I21" s="2142"/>
      <c r="J21" s="2142"/>
      <c r="K21" s="2143"/>
      <c r="L21" s="989"/>
      <c r="M21" s="989"/>
      <c r="N21" s="989"/>
      <c r="O21" s="989"/>
      <c r="P21" s="989"/>
      <c r="Q21" s="989"/>
      <c r="R21" s="989"/>
      <c r="S21" s="989"/>
      <c r="T21" s="989"/>
    </row>
    <row r="22" spans="1:20" x14ac:dyDescent="0.35">
      <c r="A22" s="860"/>
      <c r="B22" s="2029" t="s">
        <v>2138</v>
      </c>
      <c r="C22" s="2030"/>
      <c r="D22" s="2030"/>
      <c r="E22" s="2030"/>
      <c r="F22" s="2030"/>
      <c r="G22" s="2030"/>
      <c r="H22" s="2030"/>
      <c r="I22" s="2030"/>
      <c r="J22" s="2030"/>
      <c r="K22" s="2031"/>
      <c r="L22" s="989"/>
      <c r="M22" s="989"/>
      <c r="N22" s="989"/>
      <c r="O22" s="989"/>
      <c r="P22" s="989"/>
      <c r="Q22" s="989"/>
      <c r="R22" s="989"/>
      <c r="S22" s="989"/>
      <c r="T22" s="989"/>
    </row>
    <row r="23" spans="1:20" x14ac:dyDescent="0.35">
      <c r="A23" s="860"/>
      <c r="B23" s="2029"/>
      <c r="C23" s="2030"/>
      <c r="D23" s="2030"/>
      <c r="E23" s="2030"/>
      <c r="F23" s="2030"/>
      <c r="G23" s="2030"/>
      <c r="H23" s="2030"/>
      <c r="I23" s="2030"/>
      <c r="J23" s="2030"/>
      <c r="K23" s="2031"/>
      <c r="L23" s="989"/>
      <c r="M23" s="989"/>
      <c r="N23" s="989"/>
      <c r="O23" s="989"/>
      <c r="P23" s="989"/>
      <c r="Q23" s="989"/>
      <c r="R23" s="989"/>
      <c r="S23" s="989"/>
      <c r="T23" s="989"/>
    </row>
    <row r="24" spans="1:20" ht="15" thickBot="1" x14ac:dyDescent="0.4">
      <c r="A24" s="860"/>
      <c r="B24" s="2032"/>
      <c r="C24" s="2033"/>
      <c r="D24" s="2033"/>
      <c r="E24" s="2033"/>
      <c r="F24" s="2033"/>
      <c r="G24" s="2033"/>
      <c r="H24" s="2033"/>
      <c r="I24" s="2033"/>
      <c r="J24" s="2033"/>
      <c r="K24" s="2034"/>
      <c r="L24" s="989"/>
      <c r="M24" s="989"/>
      <c r="N24" s="989"/>
      <c r="O24" s="989"/>
      <c r="P24" s="989"/>
      <c r="Q24" s="989"/>
      <c r="R24" s="989"/>
      <c r="S24" s="989"/>
      <c r="T24" s="989"/>
    </row>
    <row r="25" spans="1:20" ht="15" thickBot="1" x14ac:dyDescent="0.4">
      <c r="A25" s="860"/>
      <c r="B25" s="860"/>
      <c r="C25" s="860"/>
      <c r="D25" s="860"/>
      <c r="E25" s="860"/>
      <c r="F25" s="860"/>
      <c r="G25" s="860"/>
      <c r="H25" s="860"/>
      <c r="I25" s="860"/>
      <c r="J25" s="860"/>
      <c r="K25" s="860"/>
      <c r="L25" s="989"/>
      <c r="M25" s="989"/>
      <c r="N25" s="989"/>
      <c r="O25" s="989"/>
      <c r="P25" s="989"/>
      <c r="Q25" s="989"/>
      <c r="R25" s="989"/>
      <c r="S25" s="989"/>
      <c r="T25" s="989"/>
    </row>
    <row r="26" spans="1:20" ht="15" thickBot="1" x14ac:dyDescent="0.4">
      <c r="A26" s="860"/>
      <c r="B26" s="2196" t="s">
        <v>2195</v>
      </c>
      <c r="C26" s="1148" t="s">
        <v>564</v>
      </c>
      <c r="D26" s="1149" t="s">
        <v>2140</v>
      </c>
      <c r="E26" s="1149" t="s">
        <v>2141</v>
      </c>
      <c r="F26" s="1149" t="s">
        <v>2142</v>
      </c>
      <c r="G26" s="1149" t="s">
        <v>2143</v>
      </c>
      <c r="H26" s="1149" t="s">
        <v>2144</v>
      </c>
      <c r="I26" s="1150" t="s">
        <v>2145</v>
      </c>
      <c r="J26" s="1151" t="s">
        <v>2146</v>
      </c>
      <c r="K26" s="860"/>
      <c r="L26" s="989"/>
      <c r="M26" s="989"/>
      <c r="N26" s="989"/>
      <c r="O26" s="989"/>
      <c r="P26" s="989"/>
      <c r="Q26" s="989"/>
      <c r="R26" s="989"/>
      <c r="S26" s="989"/>
      <c r="T26" s="989"/>
    </row>
    <row r="27" spans="1:20" ht="15" thickBot="1" x14ac:dyDescent="0.4">
      <c r="A27" s="860"/>
      <c r="B27" s="2197"/>
      <c r="C27" s="899" t="s">
        <v>2080</v>
      </c>
      <c r="D27" s="900"/>
      <c r="E27" s="1163">
        <v>20</v>
      </c>
      <c r="F27" s="900"/>
      <c r="G27" s="900"/>
      <c r="H27" s="900" t="s">
        <v>2148</v>
      </c>
      <c r="I27" s="1141"/>
      <c r="J27" s="901"/>
      <c r="K27" s="860"/>
      <c r="L27" s="989"/>
      <c r="M27" s="989"/>
      <c r="N27" s="989"/>
      <c r="O27" s="989"/>
      <c r="P27" s="989"/>
      <c r="Q27" s="989"/>
      <c r="R27" s="989"/>
      <c r="S27" s="989"/>
      <c r="T27" s="989"/>
    </row>
    <row r="28" spans="1:20" ht="15" thickBot="1" x14ac:dyDescent="0.4">
      <c r="A28" s="860"/>
      <c r="B28" s="2198"/>
      <c r="C28" s="899" t="s">
        <v>2196</v>
      </c>
      <c r="D28" s="900"/>
      <c r="E28" s="1163">
        <v>20</v>
      </c>
      <c r="F28" s="900"/>
      <c r="G28" s="900"/>
      <c r="H28" s="900" t="s">
        <v>2148</v>
      </c>
      <c r="I28" s="1141"/>
      <c r="J28" s="901"/>
      <c r="K28" s="860"/>
      <c r="L28" s="989"/>
      <c r="M28" s="989"/>
      <c r="N28" s="989"/>
      <c r="O28" s="989"/>
      <c r="P28" s="989"/>
      <c r="Q28" s="989"/>
      <c r="R28" s="989"/>
      <c r="S28" s="989"/>
      <c r="T28" s="989"/>
    </row>
    <row r="29" spans="1:20" ht="15" thickBot="1" x14ac:dyDescent="0.4">
      <c r="A29" s="860"/>
      <c r="B29" s="860"/>
      <c r="C29" s="860"/>
      <c r="D29" s="860"/>
      <c r="E29" s="860"/>
      <c r="F29" s="860"/>
      <c r="G29" s="860"/>
      <c r="H29" s="860"/>
      <c r="I29" s="860"/>
      <c r="J29" s="860"/>
      <c r="K29" s="860"/>
      <c r="L29" s="989"/>
      <c r="M29" s="989"/>
      <c r="N29" s="989"/>
      <c r="O29" s="989"/>
      <c r="P29" s="989"/>
      <c r="Q29" s="989"/>
      <c r="R29" s="989"/>
      <c r="S29" s="989"/>
      <c r="T29" s="989"/>
    </row>
    <row r="30" spans="1:20" ht="15" thickBot="1" x14ac:dyDescent="0.4">
      <c r="A30" s="860"/>
      <c r="B30" s="2003" t="s">
        <v>2149</v>
      </c>
      <c r="C30" s="2004"/>
      <c r="D30" s="2004"/>
      <c r="E30" s="2004"/>
      <c r="F30" s="2004"/>
      <c r="G30" s="2004"/>
      <c r="H30" s="2004"/>
      <c r="I30" s="2005"/>
      <c r="J30" s="860"/>
      <c r="K30" s="860"/>
      <c r="L30" s="989"/>
      <c r="M30" s="989"/>
      <c r="N30" s="989"/>
      <c r="O30" s="989"/>
      <c r="P30" s="989"/>
      <c r="Q30" s="989"/>
      <c r="R30" s="989"/>
      <c r="S30" s="989"/>
      <c r="T30" s="989"/>
    </row>
    <row r="31" spans="1:20" ht="15" thickBot="1" x14ac:dyDescent="0.4">
      <c r="A31" s="860"/>
      <c r="B31" s="1985" t="s">
        <v>2150</v>
      </c>
      <c r="C31" s="1986"/>
      <c r="D31" s="1986"/>
      <c r="E31" s="1986"/>
      <c r="F31" s="1123" t="s">
        <v>2151</v>
      </c>
      <c r="G31" s="2000" t="s">
        <v>574</v>
      </c>
      <c r="H31" s="2001"/>
      <c r="I31" s="2002"/>
      <c r="J31" s="860"/>
      <c r="K31" s="860"/>
      <c r="L31" s="989"/>
      <c r="M31" s="989"/>
      <c r="N31" s="989"/>
      <c r="O31" s="989"/>
      <c r="P31" s="989"/>
      <c r="Q31" s="989"/>
      <c r="R31" s="989"/>
      <c r="S31" s="989"/>
      <c r="T31" s="989"/>
    </row>
    <row r="32" spans="1:20" x14ac:dyDescent="0.35">
      <c r="A32" s="860"/>
      <c r="B32" s="2006" t="str">
        <f>+IF(Anagrafica!$H$6="Società di capitali","ANT 1 - Dichiarazione e Certificato Antimafia Società","ANT 2- Dichiarazione e Certificato Antimafia Cooperative")</f>
        <v>ANT 2- Dichiarazione e Certificato Antimafia Cooperative</v>
      </c>
      <c r="C32" s="2007"/>
      <c r="D32" s="2007"/>
      <c r="E32" s="2008"/>
      <c r="F32" s="1127"/>
      <c r="G32" s="2009"/>
      <c r="H32" s="2010"/>
      <c r="I32" s="2011"/>
      <c r="J32" s="860"/>
      <c r="K32" s="860"/>
      <c r="L32" s="989"/>
      <c r="M32" s="989"/>
      <c r="N32" s="989"/>
      <c r="O32" s="989"/>
      <c r="P32" s="989"/>
      <c r="Q32" s="989"/>
      <c r="R32" s="989"/>
      <c r="S32" s="989"/>
      <c r="T32" s="989"/>
    </row>
    <row r="33" spans="1:20" ht="15" thickBot="1" x14ac:dyDescent="0.4">
      <c r="A33" s="860"/>
      <c r="B33" s="1991" t="s">
        <v>2152</v>
      </c>
      <c r="C33" s="1992"/>
      <c r="D33" s="1992"/>
      <c r="E33" s="1993"/>
      <c r="F33" s="1128"/>
      <c r="G33" s="1994"/>
      <c r="H33" s="1995"/>
      <c r="I33" s="1996"/>
      <c r="J33" s="860"/>
      <c r="K33" s="860"/>
      <c r="L33" s="989"/>
      <c r="M33" s="989"/>
      <c r="N33" s="989"/>
      <c r="O33" s="989"/>
      <c r="P33" s="989"/>
      <c r="Q33" s="989"/>
      <c r="R33" s="989"/>
      <c r="S33" s="989"/>
      <c r="T33" s="989"/>
    </row>
    <row r="34" spans="1:20" ht="15" thickBot="1" x14ac:dyDescent="0.4">
      <c r="A34" s="860"/>
      <c r="B34" s="1997" t="s">
        <v>2153</v>
      </c>
      <c r="C34" s="1998"/>
      <c r="D34" s="1998"/>
      <c r="E34" s="1998"/>
      <c r="F34" s="1998"/>
      <c r="G34" s="1998"/>
      <c r="H34" s="1998"/>
      <c r="I34" s="1999"/>
      <c r="J34" s="860"/>
      <c r="K34" s="860"/>
      <c r="L34" s="989"/>
      <c r="M34" s="989"/>
      <c r="N34" s="989"/>
      <c r="O34" s="989"/>
      <c r="P34" s="989"/>
      <c r="Q34" s="989"/>
      <c r="R34" s="989"/>
      <c r="S34" s="989"/>
      <c r="T34" s="989"/>
    </row>
    <row r="35" spans="1:20" x14ac:dyDescent="0.35">
      <c r="A35" s="860"/>
      <c r="B35" s="2119" t="s">
        <v>2154</v>
      </c>
      <c r="C35" s="2120"/>
      <c r="D35" s="2120"/>
      <c r="E35" s="2121"/>
      <c r="F35" s="1161" t="s">
        <v>2151</v>
      </c>
      <c r="G35" s="2122" t="s">
        <v>574</v>
      </c>
      <c r="H35" s="2123"/>
      <c r="I35" s="2124"/>
      <c r="J35" s="860"/>
      <c r="K35" s="860"/>
      <c r="L35" s="989"/>
      <c r="M35" s="989"/>
      <c r="N35" s="989"/>
      <c r="O35" s="989"/>
      <c r="P35" s="989"/>
      <c r="Q35" s="989"/>
      <c r="R35" s="989"/>
      <c r="S35" s="989"/>
      <c r="T35" s="989"/>
    </row>
    <row r="36" spans="1:20" ht="15" thickBot="1" x14ac:dyDescent="0.4">
      <c r="A36" s="860"/>
      <c r="B36" s="2125" t="s">
        <v>2080</v>
      </c>
      <c r="C36" s="2126"/>
      <c r="D36" s="2126"/>
      <c r="E36" s="2127"/>
      <c r="F36" s="1162"/>
      <c r="G36" s="2128"/>
      <c r="H36" s="2129"/>
      <c r="I36" s="2130"/>
      <c r="J36" s="860"/>
      <c r="K36" s="860"/>
      <c r="L36" s="989"/>
      <c r="M36" s="989"/>
      <c r="N36" s="989"/>
      <c r="O36" s="989"/>
      <c r="P36" s="989"/>
      <c r="Q36" s="989"/>
      <c r="R36" s="989"/>
      <c r="S36" s="989"/>
      <c r="T36" s="989"/>
    </row>
    <row r="37" spans="1:20" ht="15.75" customHeight="1" thickBot="1" x14ac:dyDescent="0.4">
      <c r="A37" s="860"/>
      <c r="B37" s="2131" t="s">
        <v>2197</v>
      </c>
      <c r="C37" s="2132"/>
      <c r="D37" s="2132"/>
      <c r="E37" s="2132"/>
      <c r="F37" s="1142"/>
      <c r="G37" s="1983"/>
      <c r="H37" s="1983"/>
      <c r="I37" s="1984"/>
      <c r="J37" s="860"/>
      <c r="K37" s="860"/>
      <c r="L37" s="989"/>
      <c r="M37" s="989"/>
      <c r="N37" s="989"/>
      <c r="O37" s="989"/>
      <c r="P37" s="989"/>
      <c r="Q37" s="989"/>
      <c r="R37" s="989"/>
      <c r="S37" s="989"/>
      <c r="T37" s="989"/>
    </row>
    <row r="38" spans="1:20" ht="15" thickBot="1" x14ac:dyDescent="0.4">
      <c r="A38" s="860"/>
      <c r="B38" s="1129" t="s">
        <v>2156</v>
      </c>
      <c r="C38" s="1130"/>
      <c r="D38" s="1130"/>
      <c r="E38" s="1130"/>
      <c r="F38" s="1130"/>
      <c r="G38" s="1130"/>
      <c r="H38" s="1130"/>
      <c r="I38" s="1131"/>
      <c r="J38" s="860"/>
      <c r="K38" s="860"/>
      <c r="L38" s="989"/>
      <c r="M38" s="989"/>
      <c r="N38" s="989"/>
      <c r="O38" s="989"/>
      <c r="P38" s="989"/>
      <c r="Q38" s="989"/>
      <c r="R38" s="989"/>
      <c r="S38" s="989"/>
      <c r="T38" s="989"/>
    </row>
    <row r="39" spans="1:20" ht="15" thickBot="1" x14ac:dyDescent="0.4">
      <c r="A39" s="860"/>
      <c r="B39" s="1985" t="s">
        <v>2157</v>
      </c>
      <c r="C39" s="1986"/>
      <c r="D39" s="1986"/>
      <c r="E39" s="1987"/>
      <c r="F39" s="1124" t="s">
        <v>2151</v>
      </c>
      <c r="G39" s="2000" t="s">
        <v>574</v>
      </c>
      <c r="H39" s="2001"/>
      <c r="I39" s="2002"/>
      <c r="J39" s="860"/>
      <c r="K39" s="860"/>
      <c r="L39" s="989"/>
      <c r="M39" s="989"/>
      <c r="N39" s="989"/>
      <c r="O39" s="989"/>
      <c r="P39" s="989"/>
      <c r="Q39" s="989"/>
      <c r="R39" s="989"/>
      <c r="S39" s="989"/>
      <c r="T39" s="989"/>
    </row>
    <row r="40" spans="1:20" x14ac:dyDescent="0.35">
      <c r="A40" s="860"/>
      <c r="B40" s="2012" t="s">
        <v>2158</v>
      </c>
      <c r="C40" s="2013"/>
      <c r="D40" s="2013"/>
      <c r="E40" s="2014"/>
      <c r="F40" s="1125"/>
      <c r="G40" s="2015"/>
      <c r="H40" s="2016"/>
      <c r="I40" s="2017"/>
      <c r="J40" s="860"/>
      <c r="K40" s="860"/>
      <c r="L40" s="989"/>
      <c r="M40" s="989"/>
      <c r="N40" s="989"/>
      <c r="O40" s="989"/>
      <c r="P40" s="989"/>
      <c r="Q40" s="989"/>
      <c r="R40" s="989"/>
      <c r="S40" s="989"/>
      <c r="T40" s="989"/>
    </row>
    <row r="41" spans="1:20" x14ac:dyDescent="0.35">
      <c r="A41" s="860"/>
      <c r="B41" s="2211" t="s">
        <v>2198</v>
      </c>
      <c r="C41" s="2212"/>
      <c r="D41" s="2212"/>
      <c r="E41" s="2213"/>
      <c r="F41" s="1126"/>
      <c r="G41" s="2214"/>
      <c r="H41" s="2215"/>
      <c r="I41" s="2216"/>
      <c r="J41" s="860"/>
      <c r="K41" s="860"/>
      <c r="L41" s="989"/>
      <c r="M41" s="989"/>
      <c r="N41" s="989"/>
      <c r="O41" s="989"/>
      <c r="P41" s="989"/>
      <c r="Q41" s="989"/>
      <c r="R41" s="989"/>
      <c r="S41" s="989"/>
      <c r="T41" s="989"/>
    </row>
    <row r="42" spans="1:20" x14ac:dyDescent="0.35">
      <c r="A42" s="860"/>
      <c r="B42" s="2211" t="s">
        <v>2159</v>
      </c>
      <c r="C42" s="2212"/>
      <c r="D42" s="2212"/>
      <c r="E42" s="2213"/>
      <c r="F42" s="1126"/>
      <c r="G42" s="2214"/>
      <c r="H42" s="2215"/>
      <c r="I42" s="2216"/>
      <c r="J42" s="860"/>
      <c r="K42" s="860"/>
      <c r="L42" s="989"/>
      <c r="M42" s="989"/>
      <c r="N42" s="989"/>
      <c r="O42" s="989"/>
      <c r="P42" s="989"/>
      <c r="Q42" s="989"/>
      <c r="R42" s="989"/>
      <c r="S42" s="989"/>
      <c r="T42" s="989"/>
    </row>
    <row r="43" spans="1:20" x14ac:dyDescent="0.35">
      <c r="A43" s="860"/>
      <c r="B43" s="2211" t="s">
        <v>2199</v>
      </c>
      <c r="C43" s="2212"/>
      <c r="D43" s="2212"/>
      <c r="E43" s="2213"/>
      <c r="F43" s="1126"/>
      <c r="G43" s="2214"/>
      <c r="H43" s="2215"/>
      <c r="I43" s="2216"/>
      <c r="J43" s="860"/>
      <c r="K43" s="860"/>
      <c r="L43" s="989"/>
      <c r="M43" s="989"/>
      <c r="N43" s="989"/>
      <c r="O43" s="989"/>
      <c r="P43" s="989"/>
      <c r="Q43" s="989"/>
      <c r="R43" s="989"/>
      <c r="S43" s="989"/>
      <c r="T43" s="989"/>
    </row>
    <row r="44" spans="1:20" x14ac:dyDescent="0.35">
      <c r="A44" s="860"/>
      <c r="B44" s="1239" t="s">
        <v>2200</v>
      </c>
      <c r="C44" s="1240"/>
      <c r="D44" s="1240"/>
      <c r="E44" s="1241"/>
      <c r="F44" s="1242"/>
      <c r="G44" s="1243"/>
      <c r="H44" s="1244"/>
      <c r="I44" s="1245"/>
      <c r="J44" s="860"/>
      <c r="K44" s="860"/>
      <c r="L44" s="989"/>
      <c r="M44" s="989"/>
      <c r="N44" s="989"/>
      <c r="O44" s="989"/>
      <c r="P44" s="989"/>
      <c r="Q44" s="989"/>
      <c r="R44" s="989"/>
      <c r="S44" s="989"/>
      <c r="T44" s="989"/>
    </row>
    <row r="45" spans="1:20" ht="15" thickBot="1" x14ac:dyDescent="0.4">
      <c r="A45" s="860"/>
      <c r="B45" s="2018" t="s">
        <v>2317</v>
      </c>
      <c r="C45" s="2019"/>
      <c r="D45" s="2019"/>
      <c r="E45" s="2020"/>
      <c r="F45" s="1132"/>
      <c r="G45" s="1994"/>
      <c r="H45" s="1995"/>
      <c r="I45" s="1996"/>
      <c r="J45" s="860"/>
      <c r="K45" s="860"/>
      <c r="L45" s="989"/>
      <c r="M45" s="989"/>
      <c r="N45" s="989"/>
      <c r="O45" s="989"/>
      <c r="P45" s="989"/>
      <c r="Q45" s="989"/>
      <c r="R45" s="989"/>
      <c r="S45" s="989"/>
      <c r="T45" s="989"/>
    </row>
    <row r="46" spans="1:20" ht="15" thickBot="1" x14ac:dyDescent="0.4">
      <c r="A46" s="860"/>
      <c r="B46" s="2003" t="s">
        <v>2160</v>
      </c>
      <c r="C46" s="2004"/>
      <c r="D46" s="2004"/>
      <c r="E46" s="2004"/>
      <c r="F46" s="2004"/>
      <c r="G46" s="2004"/>
      <c r="H46" s="2004"/>
      <c r="I46" s="2005"/>
      <c r="J46" s="860"/>
      <c r="K46" s="860"/>
      <c r="L46" s="989"/>
      <c r="M46" s="989"/>
      <c r="N46" s="989"/>
      <c r="O46" s="989"/>
      <c r="P46" s="989"/>
      <c r="Q46" s="989"/>
      <c r="R46" s="989"/>
      <c r="S46" s="989"/>
      <c r="T46" s="989"/>
    </row>
    <row r="47" spans="1:20" ht="15" thickBot="1" x14ac:dyDescent="0.4">
      <c r="A47" s="860"/>
      <c r="B47" s="1985" t="s">
        <v>2161</v>
      </c>
      <c r="C47" s="1986"/>
      <c r="D47" s="1986"/>
      <c r="E47" s="1987"/>
      <c r="F47" s="1124" t="s">
        <v>2151</v>
      </c>
      <c r="G47" s="2000" t="s">
        <v>574</v>
      </c>
      <c r="H47" s="2001"/>
      <c r="I47" s="2002"/>
      <c r="J47" s="860"/>
      <c r="K47" s="860"/>
      <c r="L47" s="989"/>
      <c r="M47" s="989"/>
      <c r="N47" s="989"/>
      <c r="O47" s="989"/>
      <c r="P47" s="989"/>
      <c r="Q47" s="989"/>
      <c r="R47" s="989"/>
      <c r="S47" s="989"/>
      <c r="T47" s="989"/>
    </row>
    <row r="48" spans="1:20" ht="35.15" customHeight="1" x14ac:dyDescent="0.35">
      <c r="A48" s="860"/>
      <c r="B48" s="2116" t="s">
        <v>2162</v>
      </c>
      <c r="C48" s="2117"/>
      <c r="D48" s="2117"/>
      <c r="E48" s="2118"/>
      <c r="F48" s="1136"/>
      <c r="G48" s="2241"/>
      <c r="H48" s="2242"/>
      <c r="I48" s="2243"/>
      <c r="J48" s="860"/>
      <c r="K48" s="860"/>
      <c r="L48" s="989"/>
      <c r="M48" s="989"/>
      <c r="N48" s="989"/>
      <c r="O48" s="989"/>
      <c r="P48" s="989"/>
      <c r="Q48" s="989"/>
      <c r="R48" s="989"/>
      <c r="S48" s="989"/>
      <c r="T48" s="989"/>
    </row>
    <row r="49" spans="1:20" ht="35.15" customHeight="1" x14ac:dyDescent="0.35">
      <c r="A49" s="860"/>
      <c r="B49" s="2110" t="s">
        <v>2201</v>
      </c>
      <c r="C49" s="2111"/>
      <c r="D49" s="2111"/>
      <c r="E49" s="2112"/>
      <c r="F49" s="1208"/>
      <c r="G49" s="2107"/>
      <c r="H49" s="2108"/>
      <c r="I49" s="2109"/>
      <c r="J49" s="860"/>
      <c r="K49" s="860"/>
      <c r="L49" s="989"/>
      <c r="M49" s="989"/>
      <c r="N49" s="989"/>
      <c r="O49" s="989"/>
      <c r="P49" s="989"/>
      <c r="Q49" s="989"/>
      <c r="R49" s="989"/>
      <c r="S49" s="989"/>
      <c r="T49" s="989"/>
    </row>
    <row r="50" spans="1:20" ht="35.15" customHeight="1" x14ac:dyDescent="0.35">
      <c r="A50" s="860"/>
      <c r="B50" s="2110" t="s">
        <v>2202</v>
      </c>
      <c r="C50" s="2111"/>
      <c r="D50" s="2111"/>
      <c r="E50" s="2112"/>
      <c r="F50" s="1208"/>
      <c r="G50" s="2107"/>
      <c r="H50" s="2108"/>
      <c r="I50" s="2109"/>
      <c r="J50" s="860"/>
      <c r="K50" s="860"/>
      <c r="L50" s="989"/>
      <c r="M50" s="989"/>
      <c r="N50" s="989"/>
      <c r="O50" s="989"/>
      <c r="P50" s="989"/>
      <c r="Q50" s="989"/>
      <c r="R50" s="989"/>
      <c r="S50" s="989"/>
      <c r="T50" s="989"/>
    </row>
    <row r="51" spans="1:20" ht="35.15" customHeight="1" x14ac:dyDescent="0.35">
      <c r="A51" s="860"/>
      <c r="B51" s="2110" t="s">
        <v>2203</v>
      </c>
      <c r="C51" s="2111"/>
      <c r="D51" s="2111"/>
      <c r="E51" s="2112"/>
      <c r="F51" s="1208"/>
      <c r="G51" s="2107"/>
      <c r="H51" s="2108"/>
      <c r="I51" s="2109"/>
      <c r="J51" s="860"/>
      <c r="K51" s="860"/>
      <c r="L51" s="989"/>
      <c r="M51" s="989"/>
      <c r="N51" s="989"/>
      <c r="O51" s="989"/>
      <c r="P51" s="989"/>
      <c r="Q51" s="989"/>
      <c r="R51" s="989"/>
      <c r="S51" s="989"/>
      <c r="T51" s="989"/>
    </row>
    <row r="52" spans="1:20" ht="35.15" customHeight="1" x14ac:dyDescent="0.35">
      <c r="A52" s="860"/>
      <c r="B52" s="2254" t="s">
        <v>2204</v>
      </c>
      <c r="C52" s="2255"/>
      <c r="D52" s="2255"/>
      <c r="E52" s="2256"/>
      <c r="F52" s="1208"/>
      <c r="G52" s="2107"/>
      <c r="H52" s="2108"/>
      <c r="I52" s="2109"/>
      <c r="J52" s="860"/>
      <c r="K52" s="860"/>
      <c r="L52" s="989"/>
      <c r="M52" s="989"/>
      <c r="N52" s="989"/>
      <c r="O52" s="989"/>
      <c r="P52" s="989"/>
      <c r="Q52" s="989"/>
      <c r="R52" s="989"/>
      <c r="S52" s="989"/>
      <c r="T52" s="989"/>
    </row>
    <row r="53" spans="1:20" ht="53.25" customHeight="1" x14ac:dyDescent="0.35">
      <c r="A53" s="860"/>
      <c r="B53" s="2254" t="s">
        <v>2205</v>
      </c>
      <c r="C53" s="2255"/>
      <c r="D53" s="2255"/>
      <c r="E53" s="2256"/>
      <c r="F53" s="1208"/>
      <c r="G53" s="2107"/>
      <c r="H53" s="2108"/>
      <c r="I53" s="2109"/>
      <c r="J53" s="860"/>
      <c r="K53" s="860"/>
      <c r="L53" s="989"/>
      <c r="M53" s="989"/>
      <c r="N53" s="989"/>
      <c r="O53" s="989"/>
      <c r="P53" s="989"/>
      <c r="Q53" s="989"/>
      <c r="R53" s="989"/>
      <c r="S53" s="989"/>
      <c r="T53" s="989"/>
    </row>
    <row r="54" spans="1:20" ht="59.25" customHeight="1" x14ac:dyDescent="0.35">
      <c r="A54" s="860"/>
      <c r="B54" s="2104" t="s">
        <v>2206</v>
      </c>
      <c r="C54" s="2105"/>
      <c r="D54" s="2105"/>
      <c r="E54" s="2106"/>
      <c r="F54" s="1137"/>
      <c r="G54" s="2107"/>
      <c r="H54" s="2108"/>
      <c r="I54" s="2109"/>
      <c r="J54" s="860"/>
      <c r="K54" s="860"/>
      <c r="L54" s="989"/>
      <c r="M54" s="989"/>
      <c r="N54" s="989"/>
      <c r="O54" s="989"/>
      <c r="P54" s="989"/>
      <c r="Q54" s="989"/>
      <c r="R54" s="989"/>
      <c r="S54" s="989"/>
      <c r="T54" s="989"/>
    </row>
    <row r="55" spans="1:20" ht="63" customHeight="1" x14ac:dyDescent="0.35">
      <c r="A55" s="860"/>
      <c r="B55" s="2104" t="s">
        <v>2207</v>
      </c>
      <c r="C55" s="2105"/>
      <c r="D55" s="2105"/>
      <c r="E55" s="2106"/>
      <c r="F55" s="1137"/>
      <c r="G55" s="2107"/>
      <c r="H55" s="2108"/>
      <c r="I55" s="2109"/>
      <c r="J55" s="860"/>
      <c r="K55" s="860"/>
      <c r="L55" s="989"/>
      <c r="M55" s="989"/>
      <c r="N55" s="989"/>
      <c r="O55" s="989"/>
      <c r="P55" s="989"/>
      <c r="Q55" s="989"/>
      <c r="R55" s="989"/>
      <c r="S55" s="989"/>
      <c r="T55" s="989"/>
    </row>
    <row r="56" spans="1:20" ht="35.15" customHeight="1" x14ac:dyDescent="0.35">
      <c r="A56" s="860"/>
      <c r="B56" s="2104" t="s">
        <v>2208</v>
      </c>
      <c r="C56" s="2105"/>
      <c r="D56" s="2105"/>
      <c r="E56" s="2106"/>
      <c r="F56" s="1137"/>
      <c r="G56" s="2107"/>
      <c r="H56" s="2108"/>
      <c r="I56" s="2109"/>
      <c r="J56" s="860"/>
      <c r="K56" s="860"/>
      <c r="L56" s="989"/>
      <c r="M56" s="989"/>
      <c r="N56" s="989"/>
      <c r="O56" s="989"/>
      <c r="P56" s="989"/>
      <c r="Q56" s="989"/>
      <c r="R56" s="989"/>
      <c r="S56" s="989"/>
      <c r="T56" s="989"/>
    </row>
    <row r="57" spans="1:20" ht="35.15" customHeight="1" x14ac:dyDescent="0.35">
      <c r="A57" s="860"/>
      <c r="B57" s="2113" t="s">
        <v>2209</v>
      </c>
      <c r="C57" s="2114"/>
      <c r="D57" s="2114"/>
      <c r="E57" s="2115"/>
      <c r="F57" s="1137"/>
      <c r="G57" s="2107"/>
      <c r="H57" s="2108"/>
      <c r="I57" s="2109"/>
      <c r="J57" s="860"/>
      <c r="K57" s="860"/>
      <c r="L57" s="989"/>
      <c r="M57" s="989"/>
      <c r="N57" s="989"/>
      <c r="O57" s="989"/>
      <c r="P57" s="989"/>
      <c r="Q57" s="989"/>
      <c r="R57" s="989"/>
      <c r="S57" s="989"/>
      <c r="T57" s="989"/>
    </row>
    <row r="58" spans="1:20" ht="60.75" customHeight="1" x14ac:dyDescent="0.35">
      <c r="A58" s="860"/>
      <c r="B58" s="2110" t="s">
        <v>2210</v>
      </c>
      <c r="C58" s="2111"/>
      <c r="D58" s="2111"/>
      <c r="E58" s="2112"/>
      <c r="F58" s="1137"/>
      <c r="G58" s="2107"/>
      <c r="H58" s="2108"/>
      <c r="I58" s="2109"/>
      <c r="J58" s="860"/>
      <c r="K58" s="860"/>
      <c r="L58" s="989"/>
      <c r="M58" s="989"/>
      <c r="N58" s="989"/>
      <c r="O58" s="989"/>
      <c r="P58" s="989"/>
      <c r="Q58" s="989"/>
      <c r="R58" s="989"/>
      <c r="S58" s="989"/>
      <c r="T58" s="989"/>
    </row>
    <row r="59" spans="1:20" ht="107.25" customHeight="1" x14ac:dyDescent="0.35">
      <c r="A59" s="860"/>
      <c r="B59" s="2104" t="s">
        <v>2211</v>
      </c>
      <c r="C59" s="2105"/>
      <c r="D59" s="2105"/>
      <c r="E59" s="2106"/>
      <c r="F59" s="1137"/>
      <c r="G59" s="2107"/>
      <c r="H59" s="2108"/>
      <c r="I59" s="2109"/>
      <c r="J59" s="860"/>
      <c r="K59" s="860"/>
      <c r="L59" s="989"/>
      <c r="M59" s="989"/>
      <c r="N59" s="989"/>
      <c r="O59" s="989"/>
      <c r="P59" s="989"/>
      <c r="Q59" s="989"/>
      <c r="R59" s="989"/>
      <c r="S59" s="989"/>
      <c r="T59" s="989"/>
    </row>
    <row r="60" spans="1:20" ht="35.15" customHeight="1" x14ac:dyDescent="0.35">
      <c r="A60" s="860"/>
      <c r="B60" s="2110" t="s">
        <v>2212</v>
      </c>
      <c r="C60" s="2111"/>
      <c r="D60" s="2111"/>
      <c r="E60" s="2112"/>
      <c r="F60" s="1137"/>
      <c r="G60" s="2107"/>
      <c r="H60" s="2108"/>
      <c r="I60" s="2109"/>
      <c r="J60" s="860"/>
      <c r="K60" s="860"/>
      <c r="L60" s="989"/>
      <c r="M60" s="989"/>
      <c r="N60" s="989"/>
      <c r="O60" s="989"/>
      <c r="P60" s="989"/>
      <c r="Q60" s="989"/>
      <c r="R60" s="989"/>
      <c r="S60" s="989"/>
      <c r="T60" s="989"/>
    </row>
    <row r="61" spans="1:20" ht="35.15" customHeight="1" x14ac:dyDescent="0.35">
      <c r="A61" s="860"/>
      <c r="B61" s="2110" t="s">
        <v>2213</v>
      </c>
      <c r="C61" s="2111"/>
      <c r="D61" s="2111"/>
      <c r="E61" s="2112"/>
      <c r="F61" s="1137"/>
      <c r="G61" s="2107"/>
      <c r="H61" s="2108"/>
      <c r="I61" s="2109"/>
      <c r="J61" s="860"/>
      <c r="K61" s="860"/>
      <c r="L61" s="989"/>
      <c r="M61" s="989"/>
      <c r="N61" s="989"/>
      <c r="O61" s="989"/>
      <c r="P61" s="989"/>
      <c r="Q61" s="989"/>
      <c r="R61" s="989"/>
      <c r="S61" s="989"/>
      <c r="T61" s="989"/>
    </row>
    <row r="62" spans="1:20" ht="111.75" customHeight="1" x14ac:dyDescent="0.35">
      <c r="A62" s="860"/>
      <c r="B62" s="2110" t="s">
        <v>2214</v>
      </c>
      <c r="C62" s="2111"/>
      <c r="D62" s="2111"/>
      <c r="E62" s="2112"/>
      <c r="F62" s="1138"/>
      <c r="G62" s="2107"/>
      <c r="H62" s="2108"/>
      <c r="I62" s="2109"/>
      <c r="J62" s="860"/>
      <c r="K62" s="860"/>
      <c r="L62" s="989"/>
      <c r="M62" s="989"/>
      <c r="N62" s="989"/>
      <c r="O62" s="989"/>
      <c r="P62" s="989"/>
      <c r="Q62" s="989"/>
      <c r="R62" s="989"/>
      <c r="S62" s="989"/>
      <c r="T62" s="989"/>
    </row>
    <row r="63" spans="1:20" ht="93" customHeight="1" thickBot="1" x14ac:dyDescent="0.4">
      <c r="A63" s="860"/>
      <c r="B63" s="2096" t="s">
        <v>2215</v>
      </c>
      <c r="C63" s="2097"/>
      <c r="D63" s="2097"/>
      <c r="E63" s="2098"/>
      <c r="F63" s="1139"/>
      <c r="G63" s="2099"/>
      <c r="H63" s="2100"/>
      <c r="I63" s="2101"/>
      <c r="J63" s="860"/>
      <c r="K63" s="860"/>
      <c r="L63" s="989"/>
      <c r="M63" s="989"/>
      <c r="N63" s="989"/>
      <c r="O63" s="989"/>
      <c r="P63" s="989"/>
      <c r="Q63" s="989"/>
      <c r="R63" s="989"/>
      <c r="S63" s="989"/>
      <c r="T63" s="989"/>
    </row>
    <row r="64" spans="1:20" x14ac:dyDescent="0.35">
      <c r="A64" s="860"/>
      <c r="B64" s="860"/>
      <c r="C64" s="860"/>
      <c r="D64" s="860"/>
      <c r="E64" s="860"/>
      <c r="F64" s="860"/>
      <c r="G64" s="860"/>
      <c r="H64" s="860"/>
      <c r="I64" s="860"/>
      <c r="J64" s="860"/>
      <c r="K64" s="860"/>
      <c r="L64" s="989"/>
      <c r="M64" s="989"/>
      <c r="N64" s="989"/>
      <c r="O64" s="989"/>
      <c r="P64" s="989"/>
      <c r="Q64" s="989"/>
      <c r="R64" s="989"/>
      <c r="S64" s="989"/>
      <c r="T64" s="989"/>
    </row>
    <row r="65" spans="1:20" ht="15" thickBot="1" x14ac:dyDescent="0.4">
      <c r="A65" s="860"/>
      <c r="B65" s="860"/>
      <c r="C65" s="860"/>
      <c r="D65" s="860"/>
      <c r="E65" s="860"/>
      <c r="F65" s="860"/>
      <c r="G65" s="860"/>
      <c r="H65" s="860"/>
      <c r="I65" s="860"/>
      <c r="J65" s="860"/>
      <c r="K65" s="860"/>
      <c r="L65" s="989"/>
      <c r="M65" s="989"/>
      <c r="N65" s="989"/>
      <c r="O65" s="989"/>
      <c r="P65" s="989"/>
      <c r="Q65" s="989"/>
      <c r="R65" s="989"/>
      <c r="S65" s="989"/>
      <c r="T65" s="989"/>
    </row>
    <row r="66" spans="1:20" ht="15" thickBot="1" x14ac:dyDescent="0.4">
      <c r="A66" s="860"/>
      <c r="B66" s="2163" t="s">
        <v>2308</v>
      </c>
      <c r="C66" s="2164"/>
      <c r="D66" s="2164"/>
      <c r="E66" s="2164"/>
      <c r="F66" s="2164"/>
      <c r="G66" s="2164"/>
      <c r="H66" s="2164"/>
      <c r="I66" s="2164"/>
      <c r="J66" s="2164"/>
      <c r="K66" s="2164"/>
      <c r="L66" s="2164"/>
      <c r="M66" s="2164"/>
      <c r="N66" s="2164"/>
      <c r="O66" s="2164"/>
      <c r="P66" s="2164"/>
      <c r="Q66" s="2164"/>
      <c r="R66" s="2164"/>
      <c r="S66" s="2164"/>
      <c r="T66" s="2165"/>
    </row>
    <row r="67" spans="1:20" x14ac:dyDescent="0.35">
      <c r="A67" s="860"/>
      <c r="B67" s="950" t="s">
        <v>2217</v>
      </c>
      <c r="C67" s="860"/>
      <c r="D67" s="860"/>
      <c r="E67" s="860"/>
      <c r="F67" s="860"/>
      <c r="G67" s="860"/>
      <c r="H67" s="860"/>
      <c r="I67" s="860"/>
      <c r="J67" s="860"/>
      <c r="K67" s="860"/>
      <c r="L67" s="989"/>
      <c r="M67" s="989"/>
      <c r="N67" s="989"/>
      <c r="O67" s="989"/>
      <c r="P67" s="989"/>
      <c r="Q67" s="989"/>
      <c r="R67" s="989"/>
      <c r="S67" s="989"/>
      <c r="T67" s="989"/>
    </row>
    <row r="68" spans="1:20" x14ac:dyDescent="0.35">
      <c r="A68" s="860"/>
      <c r="B68" s="951" t="e">
        <f>+CONCATENATE("Il valore minimo rendicontabile per è pari ad € ",TEXT(K17*0.1,"#.##0,00")," ed il valore delle fatture non quietanzate non può essere superiore ad € ",TEXT(K17*0.2,"#.##0,00"))</f>
        <v>#VALUE!</v>
      </c>
      <c r="C68" s="951"/>
      <c r="D68" s="951"/>
      <c r="E68" s="951"/>
      <c r="F68" s="951"/>
      <c r="G68" s="951"/>
      <c r="H68" s="951"/>
      <c r="I68" s="951"/>
      <c r="J68" s="951"/>
      <c r="K68" s="951"/>
      <c r="L68" s="989"/>
      <c r="M68" s="989"/>
      <c r="N68" s="989"/>
      <c r="O68" s="989"/>
      <c r="P68" s="989"/>
      <c r="Q68" s="989"/>
      <c r="R68" s="989"/>
      <c r="S68" s="989"/>
      <c r="T68" s="989"/>
    </row>
    <row r="69" spans="1:20" ht="15" thickBot="1" x14ac:dyDescent="0.4">
      <c r="A69" s="860"/>
      <c r="B69" s="950"/>
      <c r="C69" s="860"/>
      <c r="D69" s="860"/>
      <c r="E69" s="860"/>
      <c r="F69" s="860"/>
      <c r="G69" s="860"/>
      <c r="H69" s="860"/>
      <c r="I69" s="860"/>
      <c r="J69" s="860"/>
      <c r="K69" s="860"/>
      <c r="L69" s="989"/>
      <c r="M69" s="989"/>
      <c r="N69" s="989"/>
      <c r="O69" s="989"/>
      <c r="P69" s="989"/>
      <c r="Q69" s="989"/>
      <c r="R69" s="989"/>
      <c r="S69" s="989"/>
      <c r="T69" s="989"/>
    </row>
    <row r="70" spans="1:20" ht="23.5" thickBot="1" x14ac:dyDescent="0.4">
      <c r="A70" s="860"/>
      <c r="B70" s="993" t="s">
        <v>2218</v>
      </c>
      <c r="C70" s="952" t="s">
        <v>2219</v>
      </c>
      <c r="D70" s="952" t="s">
        <v>2220</v>
      </c>
      <c r="E70" s="952" t="s">
        <v>2221</v>
      </c>
      <c r="F70" s="952" t="s">
        <v>2222</v>
      </c>
      <c r="G70" s="952" t="s">
        <v>2223</v>
      </c>
      <c r="H70" s="974" t="s">
        <v>2224</v>
      </c>
      <c r="I70" s="994" t="s">
        <v>2067</v>
      </c>
      <c r="J70" s="952" t="s">
        <v>2226</v>
      </c>
      <c r="K70" s="974" t="s">
        <v>2069</v>
      </c>
      <c r="L70" s="974" t="s">
        <v>2227</v>
      </c>
      <c r="M70" s="974" t="s">
        <v>2228</v>
      </c>
      <c r="N70" s="974" t="s">
        <v>2229</v>
      </c>
      <c r="O70" s="974" t="s">
        <v>2230</v>
      </c>
      <c r="P70" s="974" t="s">
        <v>2231</v>
      </c>
      <c r="Q70" s="2180" t="s">
        <v>574</v>
      </c>
      <c r="R70" s="2181"/>
      <c r="S70" s="989"/>
      <c r="T70" s="989"/>
    </row>
    <row r="71" spans="1:20" ht="33.75" customHeight="1" x14ac:dyDescent="0.35">
      <c r="A71" s="860"/>
      <c r="B71" s="953"/>
      <c r="C71" s="954"/>
      <c r="D71" s="955"/>
      <c r="E71" s="954"/>
      <c r="F71" s="957"/>
      <c r="G71" s="956"/>
      <c r="H71" s="1020"/>
      <c r="I71" s="1059"/>
      <c r="J71" s="995"/>
      <c r="K71" s="985"/>
      <c r="L71" s="985"/>
      <c r="M71" s="985"/>
      <c r="N71" s="985"/>
      <c r="O71" s="985"/>
      <c r="P71" s="985"/>
      <c r="Q71" s="2188"/>
      <c r="R71" s="2189"/>
      <c r="S71" s="989"/>
      <c r="T71" s="989"/>
    </row>
    <row r="72" spans="1:20" ht="33.75" customHeight="1" x14ac:dyDescent="0.35">
      <c r="A72" s="860"/>
      <c r="B72" s="1005"/>
      <c r="C72" s="992"/>
      <c r="D72" s="1006"/>
      <c r="E72" s="992"/>
      <c r="F72" s="995"/>
      <c r="G72" s="1007"/>
      <c r="H72" s="1021"/>
      <c r="I72" s="1060"/>
      <c r="J72" s="995"/>
      <c r="K72" s="1008"/>
      <c r="L72" s="1008"/>
      <c r="M72" s="1008"/>
      <c r="N72" s="1008"/>
      <c r="O72" s="1008"/>
      <c r="P72" s="1008"/>
      <c r="Q72" s="2190"/>
      <c r="R72" s="2191"/>
      <c r="S72" s="989"/>
      <c r="T72" s="989"/>
    </row>
    <row r="73" spans="1:20" ht="33.75" customHeight="1" thickBot="1" x14ac:dyDescent="0.4">
      <c r="A73" s="860"/>
      <c r="B73" s="1005"/>
      <c r="C73" s="992"/>
      <c r="D73" s="1006"/>
      <c r="E73" s="992"/>
      <c r="F73" s="995"/>
      <c r="G73" s="1007"/>
      <c r="H73" s="1021"/>
      <c r="I73" s="1060"/>
      <c r="J73" s="995"/>
      <c r="K73" s="1008"/>
      <c r="L73" s="1008"/>
      <c r="M73" s="1008"/>
      <c r="N73" s="1008"/>
      <c r="O73" s="1008"/>
      <c r="P73" s="1008"/>
      <c r="Q73" s="2192"/>
      <c r="R73" s="2193"/>
      <c r="S73" s="989"/>
      <c r="T73" s="989"/>
    </row>
    <row r="74" spans="1:20" ht="15" thickBot="1" x14ac:dyDescent="0.4">
      <c r="A74" s="860"/>
      <c r="B74" s="968"/>
      <c r="C74" s="969"/>
      <c r="D74" s="969"/>
      <c r="E74" s="981"/>
      <c r="F74" s="1029">
        <f>SUM(F71:F73)</f>
        <v>0</v>
      </c>
      <c r="G74" s="1029"/>
      <c r="H74" s="1030"/>
      <c r="I74" s="974"/>
      <c r="J74" s="1029">
        <f>+SUM(J71:J73)</f>
        <v>0</v>
      </c>
      <c r="K74" s="1030">
        <f>+SUM(K71:K73)</f>
        <v>0</v>
      </c>
      <c r="L74" s="991"/>
      <c r="M74" s="991"/>
      <c r="N74" s="991"/>
      <c r="O74" s="991"/>
      <c r="P74" s="991"/>
      <c r="Q74" s="2178"/>
      <c r="R74" s="2179"/>
      <c r="S74" s="989"/>
      <c r="T74" s="989"/>
    </row>
    <row r="75" spans="1:20" x14ac:dyDescent="0.35">
      <c r="A75" s="860"/>
      <c r="B75" s="860"/>
      <c r="C75" s="860"/>
      <c r="D75" s="860"/>
      <c r="E75" s="860"/>
      <c r="F75" s="860"/>
      <c r="G75" s="860"/>
      <c r="H75" s="860"/>
      <c r="I75" s="860"/>
      <c r="J75" s="860"/>
      <c r="K75" s="860"/>
      <c r="L75" s="989"/>
      <c r="M75" s="989"/>
      <c r="N75" s="989"/>
      <c r="O75" s="989"/>
      <c r="P75" s="989"/>
      <c r="Q75" s="989"/>
      <c r="R75" s="989"/>
      <c r="S75" s="989"/>
      <c r="T75" s="989"/>
    </row>
    <row r="76" spans="1:20" ht="15" thickBot="1" x14ac:dyDescent="0.4">
      <c r="A76" s="860"/>
      <c r="B76" s="998" t="s">
        <v>2232</v>
      </c>
      <c r="C76" s="860"/>
      <c r="D76" s="860"/>
      <c r="E76" s="860"/>
      <c r="F76" s="860"/>
      <c r="G76" s="860"/>
      <c r="H76" s="860"/>
      <c r="I76" s="860"/>
      <c r="J76" s="860"/>
      <c r="K76" s="860"/>
      <c r="L76" s="989"/>
      <c r="M76" s="989"/>
      <c r="N76" s="989"/>
      <c r="O76" s="989"/>
      <c r="P76" s="989"/>
      <c r="Q76" s="989"/>
      <c r="R76" s="989"/>
      <c r="S76" s="989"/>
      <c r="T76" s="989"/>
    </row>
    <row r="77" spans="1:20" x14ac:dyDescent="0.35">
      <c r="A77" s="860"/>
      <c r="B77" s="2169"/>
      <c r="C77" s="2170"/>
      <c r="D77" s="2170"/>
      <c r="E77" s="2170"/>
      <c r="F77" s="2170"/>
      <c r="G77" s="2170"/>
      <c r="H77" s="2170"/>
      <c r="I77" s="2170"/>
      <c r="J77" s="2170"/>
      <c r="K77" s="2170"/>
      <c r="L77" s="2170"/>
      <c r="M77" s="2170"/>
      <c r="N77" s="2170"/>
      <c r="O77" s="2170"/>
      <c r="P77" s="2170"/>
      <c r="Q77" s="2170"/>
      <c r="R77" s="2171"/>
      <c r="S77" s="989"/>
      <c r="T77" s="989"/>
    </row>
    <row r="78" spans="1:20" x14ac:dyDescent="0.35">
      <c r="A78" s="860"/>
      <c r="B78" s="2172"/>
      <c r="C78" s="2173"/>
      <c r="D78" s="2173"/>
      <c r="E78" s="2173"/>
      <c r="F78" s="2173"/>
      <c r="G78" s="2173"/>
      <c r="H78" s="2173"/>
      <c r="I78" s="2173"/>
      <c r="J78" s="2173"/>
      <c r="K78" s="2173"/>
      <c r="L78" s="2173"/>
      <c r="M78" s="2173"/>
      <c r="N78" s="2173"/>
      <c r="O78" s="2173"/>
      <c r="P78" s="2173"/>
      <c r="Q78" s="2173"/>
      <c r="R78" s="2174"/>
      <c r="S78" s="989"/>
      <c r="T78" s="989"/>
    </row>
    <row r="79" spans="1:20" x14ac:dyDescent="0.35">
      <c r="A79" s="860"/>
      <c r="B79" s="2172"/>
      <c r="C79" s="2173"/>
      <c r="D79" s="2173"/>
      <c r="E79" s="2173"/>
      <c r="F79" s="2173"/>
      <c r="G79" s="2173"/>
      <c r="H79" s="2173"/>
      <c r="I79" s="2173"/>
      <c r="J79" s="2173"/>
      <c r="K79" s="2173"/>
      <c r="L79" s="2173"/>
      <c r="M79" s="2173"/>
      <c r="N79" s="2173"/>
      <c r="O79" s="2173"/>
      <c r="P79" s="2173"/>
      <c r="Q79" s="2173"/>
      <c r="R79" s="2174"/>
      <c r="S79" s="989"/>
      <c r="T79" s="989"/>
    </row>
    <row r="80" spans="1:20" x14ac:dyDescent="0.35">
      <c r="A80" s="860"/>
      <c r="B80" s="2172"/>
      <c r="C80" s="2173"/>
      <c r="D80" s="2173"/>
      <c r="E80" s="2173"/>
      <c r="F80" s="2173"/>
      <c r="G80" s="2173"/>
      <c r="H80" s="2173"/>
      <c r="I80" s="2173"/>
      <c r="J80" s="2173"/>
      <c r="K80" s="2173"/>
      <c r="L80" s="2173"/>
      <c r="M80" s="2173"/>
      <c r="N80" s="2173"/>
      <c r="O80" s="2173"/>
      <c r="P80" s="2173"/>
      <c r="Q80" s="2173"/>
      <c r="R80" s="2174"/>
      <c r="S80" s="989"/>
      <c r="T80" s="989"/>
    </row>
    <row r="81" spans="1:20" ht="15" thickBot="1" x14ac:dyDescent="0.4">
      <c r="A81" s="860"/>
      <c r="B81" s="2166"/>
      <c r="C81" s="2167"/>
      <c r="D81" s="2167"/>
      <c r="E81" s="2167"/>
      <c r="F81" s="2167"/>
      <c r="G81" s="2167"/>
      <c r="H81" s="2167"/>
      <c r="I81" s="2167"/>
      <c r="J81" s="2167"/>
      <c r="K81" s="2167"/>
      <c r="L81" s="2167"/>
      <c r="M81" s="2167"/>
      <c r="N81" s="2167"/>
      <c r="O81" s="2167"/>
      <c r="P81" s="2167"/>
      <c r="Q81" s="2167"/>
      <c r="R81" s="2168"/>
      <c r="S81" s="989"/>
      <c r="T81" s="989"/>
    </row>
    <row r="82" spans="1:20" ht="15" thickBot="1" x14ac:dyDescent="0.4">
      <c r="A82" s="860"/>
      <c r="B82" s="860"/>
      <c r="C82" s="860"/>
      <c r="D82" s="860"/>
      <c r="E82" s="860"/>
      <c r="F82" s="860"/>
      <c r="G82" s="860"/>
      <c r="H82" s="860"/>
      <c r="I82" s="860"/>
      <c r="J82" s="860"/>
      <c r="K82" s="860"/>
      <c r="L82" s="989"/>
      <c r="M82" s="989"/>
      <c r="N82" s="989"/>
      <c r="O82" s="989"/>
      <c r="P82" s="989"/>
      <c r="Q82" s="989"/>
      <c r="R82" s="989"/>
      <c r="S82" s="989"/>
      <c r="T82" s="989"/>
    </row>
    <row r="83" spans="1:20" ht="15" thickBot="1" x14ac:dyDescent="0.4">
      <c r="A83" s="860"/>
      <c r="B83" s="970" t="s">
        <v>2233</v>
      </c>
      <c r="C83" s="971"/>
      <c r="D83" s="972"/>
      <c r="E83" s="973" t="s">
        <v>1563</v>
      </c>
      <c r="F83" s="1031" t="str">
        <f>+IF(AND(E83="Si",Anagrafica!$C$31=0),"Non è prevista la spesa per capitale circolante netto","")</f>
        <v/>
      </c>
      <c r="G83" s="860"/>
      <c r="H83" s="860"/>
      <c r="I83" s="860"/>
      <c r="J83" s="860"/>
      <c r="K83" s="860"/>
      <c r="L83" s="989"/>
      <c r="M83" s="989"/>
      <c r="N83" s="989"/>
      <c r="O83" s="989"/>
      <c r="P83" s="989"/>
      <c r="Q83" s="989"/>
      <c r="R83" s="989"/>
      <c r="S83" s="989"/>
      <c r="T83" s="989"/>
    </row>
    <row r="84" spans="1:20" ht="15" thickBot="1" x14ac:dyDescent="0.4">
      <c r="A84" s="860"/>
      <c r="B84" s="2175" t="s">
        <v>2234</v>
      </c>
      <c r="C84" s="2176"/>
      <c r="D84" s="2177"/>
      <c r="E84" s="1026">
        <v>0</v>
      </c>
      <c r="F84" s="860"/>
      <c r="G84" s="860"/>
      <c r="H84" s="860"/>
      <c r="I84" s="860"/>
      <c r="J84" s="860"/>
      <c r="K84" s="860"/>
      <c r="L84" s="989"/>
      <c r="M84" s="989"/>
      <c r="N84" s="989"/>
      <c r="O84" s="989"/>
      <c r="P84" s="989"/>
      <c r="Q84" s="989"/>
      <c r="R84" s="989"/>
      <c r="S84" s="989"/>
      <c r="T84" s="989"/>
    </row>
    <row r="85" spans="1:20" ht="15" thickBot="1" x14ac:dyDescent="0.4">
      <c r="A85" s="860"/>
      <c r="B85" s="2175" t="s">
        <v>2235</v>
      </c>
      <c r="C85" s="2176"/>
      <c r="D85" s="2177"/>
      <c r="E85" s="1120">
        <f>+IF($E$83="NO",0,IF(E84&lt;=K74*0.2,E84,(E84/F74)*K74))</f>
        <v>0</v>
      </c>
      <c r="F85" s="860"/>
      <c r="G85" s="860"/>
      <c r="H85" s="860"/>
      <c r="I85" s="860"/>
      <c r="J85" s="860"/>
      <c r="K85" s="860"/>
      <c r="L85" s="989"/>
      <c r="M85" s="989"/>
      <c r="N85" s="989"/>
      <c r="O85" s="989"/>
      <c r="P85" s="989"/>
      <c r="Q85" s="989"/>
      <c r="R85" s="989"/>
      <c r="S85" s="989"/>
      <c r="T85" s="989"/>
    </row>
    <row r="86" spans="1:20" x14ac:dyDescent="0.35">
      <c r="A86" s="860"/>
      <c r="B86" s="860"/>
      <c r="C86" s="860"/>
      <c r="D86" s="860"/>
      <c r="E86" s="860"/>
      <c r="F86" s="860"/>
      <c r="G86" s="860"/>
      <c r="H86" s="860"/>
      <c r="I86" s="860"/>
      <c r="J86" s="860"/>
      <c r="K86" s="989"/>
      <c r="L86" s="989"/>
      <c r="M86" s="989"/>
      <c r="N86" s="989"/>
      <c r="O86" s="989"/>
      <c r="P86" s="989"/>
      <c r="Q86" s="989"/>
      <c r="R86" s="989"/>
      <c r="S86" s="989"/>
      <c r="T86" s="989"/>
    </row>
    <row r="87" spans="1:20" ht="15" thickBot="1" x14ac:dyDescent="0.4">
      <c r="A87" s="860"/>
      <c r="B87" s="950" t="s">
        <v>2236</v>
      </c>
      <c r="C87" s="860"/>
      <c r="D87" s="860"/>
      <c r="E87" s="860"/>
      <c r="F87" s="860"/>
      <c r="G87" s="860"/>
      <c r="H87" s="860"/>
      <c r="I87" s="860"/>
      <c r="J87" s="860"/>
      <c r="K87" s="989"/>
      <c r="L87" s="989"/>
      <c r="M87" s="989"/>
      <c r="N87" s="989"/>
      <c r="O87" s="989"/>
      <c r="P87" s="989"/>
      <c r="Q87" s="989"/>
      <c r="R87" s="989"/>
      <c r="S87" s="989"/>
      <c r="T87" s="989"/>
    </row>
    <row r="88" spans="1:20" ht="23.5" thickBot="1" x14ac:dyDescent="0.4">
      <c r="A88" s="860"/>
      <c r="B88" s="993" t="s">
        <v>2218</v>
      </c>
      <c r="C88" s="952" t="s">
        <v>2219</v>
      </c>
      <c r="D88" s="952" t="s">
        <v>2220</v>
      </c>
      <c r="E88" s="974" t="s">
        <v>2237</v>
      </c>
      <c r="F88" s="952" t="s">
        <v>2238</v>
      </c>
      <c r="G88" s="974" t="s">
        <v>2239</v>
      </c>
      <c r="H88" s="974" t="s">
        <v>2240</v>
      </c>
      <c r="I88" s="974" t="s">
        <v>2241</v>
      </c>
      <c r="J88" s="2180" t="s">
        <v>574</v>
      </c>
      <c r="K88" s="2181"/>
      <c r="L88" s="989"/>
      <c r="M88" s="989"/>
      <c r="N88" s="989"/>
      <c r="O88" s="989"/>
      <c r="P88" s="989"/>
      <c r="Q88" s="989"/>
      <c r="R88" s="989"/>
      <c r="S88" s="989"/>
      <c r="T88" s="989"/>
    </row>
    <row r="89" spans="1:20" x14ac:dyDescent="0.35">
      <c r="A89" s="860"/>
      <c r="B89" s="953"/>
      <c r="C89" s="954"/>
      <c r="D89" s="955"/>
      <c r="E89" s="975"/>
      <c r="F89" s="954"/>
      <c r="G89" s="980"/>
      <c r="H89" s="980"/>
      <c r="I89" s="980"/>
      <c r="J89" s="2182"/>
      <c r="K89" s="2183"/>
      <c r="L89" s="989"/>
      <c r="M89" s="989"/>
      <c r="N89" s="989"/>
      <c r="O89" s="989"/>
      <c r="P89" s="989"/>
      <c r="Q89" s="989"/>
      <c r="R89" s="989"/>
      <c r="S89" s="989"/>
      <c r="T89" s="989"/>
    </row>
    <row r="90" spans="1:20" x14ac:dyDescent="0.35">
      <c r="A90" s="860"/>
      <c r="B90" s="958"/>
      <c r="C90" s="959"/>
      <c r="D90" s="960"/>
      <c r="E90" s="976"/>
      <c r="F90" s="992"/>
      <c r="G90" s="959"/>
      <c r="H90" s="959"/>
      <c r="I90" s="959"/>
      <c r="J90" s="2184"/>
      <c r="K90" s="2185"/>
      <c r="L90" s="989"/>
      <c r="M90" s="989"/>
      <c r="N90" s="989"/>
      <c r="O90" s="989"/>
      <c r="P90" s="989"/>
      <c r="Q90" s="989"/>
      <c r="R90" s="989"/>
      <c r="S90" s="989"/>
      <c r="T90" s="989"/>
    </row>
    <row r="91" spans="1:20" ht="15" thickBot="1" x14ac:dyDescent="0.4">
      <c r="A91" s="860"/>
      <c r="B91" s="963"/>
      <c r="C91" s="964"/>
      <c r="D91" s="965"/>
      <c r="E91" s="977"/>
      <c r="F91" s="964"/>
      <c r="G91" s="984"/>
      <c r="H91" s="984"/>
      <c r="I91" s="984"/>
      <c r="J91" s="2186"/>
      <c r="K91" s="2187"/>
      <c r="L91" s="989"/>
      <c r="M91" s="989"/>
      <c r="N91" s="989"/>
      <c r="O91" s="989"/>
      <c r="P91" s="989"/>
      <c r="Q91" s="989"/>
      <c r="R91" s="989"/>
      <c r="S91" s="989"/>
      <c r="T91" s="989"/>
    </row>
    <row r="92" spans="1:20" ht="15" thickBot="1" x14ac:dyDescent="0.4">
      <c r="A92" s="860"/>
      <c r="B92" s="968"/>
      <c r="C92" s="969"/>
      <c r="D92" s="981"/>
      <c r="E92" s="982">
        <f>SUM(E89:E91)</f>
        <v>0</v>
      </c>
      <c r="F92" s="983"/>
      <c r="G92" s="981"/>
      <c r="H92" s="981"/>
      <c r="I92" s="981"/>
      <c r="J92" s="2180"/>
      <c r="K92" s="2181"/>
      <c r="L92" s="989"/>
      <c r="M92" s="989"/>
      <c r="N92" s="989"/>
      <c r="O92" s="989"/>
      <c r="P92" s="989"/>
      <c r="Q92" s="989"/>
      <c r="R92" s="989"/>
      <c r="S92" s="989"/>
      <c r="T92" s="989"/>
    </row>
    <row r="93" spans="1:20" x14ac:dyDescent="0.35">
      <c r="A93" s="860"/>
      <c r="B93" s="860"/>
      <c r="C93" s="860"/>
      <c r="D93" s="860"/>
      <c r="E93" s="860"/>
      <c r="F93" s="860"/>
      <c r="G93" s="860"/>
      <c r="H93" s="860"/>
      <c r="I93" s="860"/>
      <c r="J93" s="860"/>
      <c r="K93" s="860"/>
      <c r="L93" s="989"/>
      <c r="M93" s="989"/>
      <c r="N93" s="989"/>
      <c r="O93" s="989"/>
      <c r="P93" s="989"/>
      <c r="Q93" s="989"/>
      <c r="R93" s="989"/>
      <c r="S93" s="989"/>
      <c r="T93" s="989"/>
    </row>
    <row r="94" spans="1:20" ht="15" thickBot="1" x14ac:dyDescent="0.4">
      <c r="A94" s="860"/>
      <c r="B94" s="998" t="s">
        <v>2232</v>
      </c>
      <c r="C94" s="860"/>
      <c r="D94" s="860"/>
      <c r="E94" s="860"/>
      <c r="F94" s="860"/>
      <c r="G94" s="860"/>
      <c r="H94" s="860"/>
      <c r="I94" s="860"/>
      <c r="J94" s="860"/>
      <c r="K94" s="860"/>
      <c r="L94" s="989"/>
      <c r="M94" s="989"/>
      <c r="N94" s="989"/>
      <c r="O94" s="989"/>
      <c r="P94" s="989"/>
      <c r="Q94" s="989"/>
      <c r="R94" s="989"/>
      <c r="S94" s="989"/>
      <c r="T94" s="989"/>
    </row>
    <row r="95" spans="1:20" x14ac:dyDescent="0.35">
      <c r="A95" s="860"/>
      <c r="B95" s="2169"/>
      <c r="C95" s="2170"/>
      <c r="D95" s="2170"/>
      <c r="E95" s="2170"/>
      <c r="F95" s="2170"/>
      <c r="G95" s="2170"/>
      <c r="H95" s="2170"/>
      <c r="I95" s="2170"/>
      <c r="J95" s="2170"/>
      <c r="K95" s="2171"/>
      <c r="L95" s="989"/>
      <c r="M95" s="989"/>
      <c r="N95" s="989"/>
      <c r="O95" s="989"/>
      <c r="P95" s="989"/>
      <c r="Q95" s="989"/>
      <c r="R95" s="989"/>
      <c r="S95" s="989"/>
      <c r="T95" s="989"/>
    </row>
    <row r="96" spans="1:20" x14ac:dyDescent="0.35">
      <c r="A96" s="860"/>
      <c r="B96" s="2172"/>
      <c r="C96" s="2173"/>
      <c r="D96" s="2173"/>
      <c r="E96" s="2173"/>
      <c r="F96" s="2173"/>
      <c r="G96" s="2173"/>
      <c r="H96" s="2173"/>
      <c r="I96" s="2173"/>
      <c r="J96" s="2173"/>
      <c r="K96" s="2174"/>
      <c r="L96" s="989"/>
      <c r="M96" s="989"/>
      <c r="N96" s="989"/>
      <c r="O96" s="989"/>
      <c r="P96" s="989"/>
      <c r="Q96" s="989"/>
      <c r="R96" s="989"/>
      <c r="S96" s="989"/>
      <c r="T96" s="989"/>
    </row>
    <row r="97" spans="1:20" x14ac:dyDescent="0.35">
      <c r="A97" s="860"/>
      <c r="B97" s="2172"/>
      <c r="C97" s="2173"/>
      <c r="D97" s="2173"/>
      <c r="E97" s="2173"/>
      <c r="F97" s="2173"/>
      <c r="G97" s="2173"/>
      <c r="H97" s="2173"/>
      <c r="I97" s="2173"/>
      <c r="J97" s="2173"/>
      <c r="K97" s="2174"/>
      <c r="L97" s="989"/>
      <c r="M97" s="989"/>
      <c r="N97" s="989"/>
      <c r="O97" s="989"/>
      <c r="P97" s="989"/>
      <c r="Q97" s="989"/>
      <c r="R97" s="989"/>
      <c r="S97" s="989"/>
      <c r="T97" s="989"/>
    </row>
    <row r="98" spans="1:20" ht="15" thickBot="1" x14ac:dyDescent="0.4">
      <c r="A98" s="860"/>
      <c r="B98" s="2166"/>
      <c r="C98" s="2167"/>
      <c r="D98" s="2167"/>
      <c r="E98" s="2167"/>
      <c r="F98" s="2167"/>
      <c r="G98" s="2167"/>
      <c r="H98" s="2167"/>
      <c r="I98" s="2167"/>
      <c r="J98" s="2167"/>
      <c r="K98" s="2168"/>
      <c r="L98" s="989"/>
      <c r="M98" s="989"/>
      <c r="N98" s="989"/>
      <c r="O98" s="989"/>
      <c r="P98" s="989"/>
      <c r="Q98" s="989"/>
      <c r="R98" s="989"/>
      <c r="S98" s="989"/>
      <c r="T98" s="989"/>
    </row>
    <row r="99" spans="1:20" x14ac:dyDescent="0.35">
      <c r="A99" s="860"/>
      <c r="B99" s="978" t="s">
        <v>2242</v>
      </c>
      <c r="C99" s="860"/>
      <c r="D99" s="860"/>
      <c r="E99" s="860"/>
      <c r="F99" s="860"/>
      <c r="G99" s="860"/>
      <c r="H99" s="860"/>
      <c r="I99" s="860"/>
      <c r="J99" s="860"/>
      <c r="K99" s="860"/>
      <c r="L99" s="989"/>
      <c r="M99" s="989"/>
      <c r="N99" s="989"/>
      <c r="O99" s="989"/>
      <c r="P99" s="989"/>
      <c r="Q99" s="989"/>
      <c r="R99" s="989"/>
      <c r="S99" s="989"/>
      <c r="T99" s="989"/>
    </row>
    <row r="100" spans="1:20" x14ac:dyDescent="0.35">
      <c r="A100" s="860"/>
      <c r="B100" s="978"/>
      <c r="C100" s="860"/>
      <c r="D100" s="860"/>
      <c r="E100" s="860"/>
      <c r="F100" s="860"/>
      <c r="G100" s="860"/>
      <c r="H100" s="860"/>
      <c r="I100" s="860"/>
      <c r="J100" s="860"/>
      <c r="K100" s="860"/>
      <c r="L100" s="989"/>
      <c r="M100" s="989"/>
      <c r="N100" s="989"/>
      <c r="O100" s="989"/>
      <c r="P100" s="989"/>
      <c r="Q100" s="989"/>
      <c r="R100" s="989"/>
      <c r="S100" s="989"/>
      <c r="T100" s="989"/>
    </row>
    <row r="101" spans="1:20" x14ac:dyDescent="0.35">
      <c r="A101" s="860"/>
      <c r="B101" s="950" t="s">
        <v>2271</v>
      </c>
      <c r="C101" s="860"/>
      <c r="D101" s="860"/>
      <c r="E101" s="860"/>
      <c r="F101" s="860"/>
      <c r="G101" s="860"/>
      <c r="H101" s="860"/>
      <c r="I101" s="860"/>
      <c r="J101" s="860"/>
      <c r="K101" s="860"/>
      <c r="L101" s="989"/>
      <c r="M101" s="989"/>
      <c r="N101" s="989"/>
      <c r="O101" s="989"/>
      <c r="P101" s="989"/>
      <c r="Q101" s="989"/>
      <c r="R101" s="989"/>
      <c r="S101" s="989"/>
      <c r="T101" s="989"/>
    </row>
    <row r="102" spans="1:20" x14ac:dyDescent="0.35">
      <c r="A102" s="860"/>
      <c r="B102" s="2229" t="e" cm="1">
        <f t="array" aca="1" ref="B102" ca="1">+CONCATENATE("Evidenza dell'avvenuto pagamento delle fatture rendicontate nel precedente SAL pari ad €  ",IF(Anagrafica!$C$26&lt;&gt;"Unico",TEXT(INDIRECT(_xlfn.CONCAT("'",LEFT(Anagrafica!$C$26,1)," ","SAL'!E20")),"#.###0,00"),0),"")</f>
        <v>#REF!</v>
      </c>
      <c r="C102" s="2230"/>
      <c r="D102" s="2230"/>
      <c r="E102" s="2230"/>
      <c r="F102" s="2230"/>
      <c r="G102" s="2230"/>
      <c r="H102" s="2230"/>
      <c r="I102" s="2230"/>
      <c r="J102" s="2230"/>
      <c r="K102" s="2230"/>
      <c r="L102" s="2230"/>
      <c r="M102" s="2230"/>
      <c r="N102" s="2230"/>
      <c r="O102" s="2230"/>
      <c r="P102" s="2230"/>
      <c r="Q102" s="2230"/>
      <c r="R102" s="2230"/>
      <c r="S102" s="2230"/>
      <c r="T102" s="2230"/>
    </row>
    <row r="103" spans="1:20" ht="15" thickBot="1" x14ac:dyDescent="0.4">
      <c r="A103" s="860"/>
      <c r="B103" s="860"/>
      <c r="C103" s="860"/>
      <c r="D103" s="860"/>
      <c r="E103" s="860"/>
      <c r="F103" s="860"/>
      <c r="G103" s="860"/>
      <c r="H103" s="860"/>
      <c r="I103" s="860"/>
      <c r="J103" s="860"/>
      <c r="K103" s="860"/>
      <c r="L103" s="989"/>
      <c r="M103" s="989"/>
      <c r="N103" s="989"/>
      <c r="O103" s="989"/>
      <c r="P103" s="989"/>
      <c r="Q103" s="989"/>
      <c r="R103" s="989"/>
      <c r="S103" s="989"/>
      <c r="T103" s="989"/>
    </row>
    <row r="104" spans="1:20" ht="23.5" thickBot="1" x14ac:dyDescent="0.4">
      <c r="A104" s="860"/>
      <c r="B104" s="993" t="s">
        <v>2218</v>
      </c>
      <c r="C104" s="952" t="s">
        <v>2219</v>
      </c>
      <c r="D104" s="952" t="s">
        <v>2220</v>
      </c>
      <c r="E104" s="974" t="s">
        <v>2237</v>
      </c>
      <c r="F104" s="952" t="s">
        <v>2238</v>
      </c>
      <c r="G104" s="952" t="s">
        <v>2239</v>
      </c>
      <c r="H104" s="1045" t="s">
        <v>2240</v>
      </c>
      <c r="I104" s="974" t="s">
        <v>2241</v>
      </c>
      <c r="J104" s="2180" t="s">
        <v>574</v>
      </c>
      <c r="K104" s="2181"/>
      <c r="L104" s="989"/>
      <c r="M104" s="989"/>
      <c r="N104" s="989"/>
      <c r="O104" s="989"/>
      <c r="P104" s="989"/>
      <c r="Q104" s="989"/>
      <c r="R104" s="989"/>
      <c r="S104" s="989"/>
      <c r="T104" s="989"/>
    </row>
    <row r="105" spans="1:20" x14ac:dyDescent="0.35">
      <c r="A105" s="860"/>
      <c r="B105" s="1034"/>
      <c r="C105" s="1035"/>
      <c r="D105" s="1036"/>
      <c r="E105" s="1037"/>
      <c r="F105" s="1038"/>
      <c r="G105" s="1050"/>
      <c r="H105" s="1046"/>
      <c r="I105" s="980"/>
      <c r="J105" s="2182"/>
      <c r="K105" s="2183"/>
      <c r="L105" s="989"/>
      <c r="M105" s="989"/>
      <c r="N105" s="989"/>
      <c r="O105" s="989"/>
      <c r="P105" s="989"/>
      <c r="Q105" s="989"/>
      <c r="R105" s="989"/>
      <c r="S105" s="989"/>
      <c r="T105" s="989"/>
    </row>
    <row r="106" spans="1:20" x14ac:dyDescent="0.35">
      <c r="A106" s="860"/>
      <c r="B106" s="1039"/>
      <c r="C106" s="1040"/>
      <c r="D106" s="1041"/>
      <c r="E106" s="1042"/>
      <c r="F106" s="1043"/>
      <c r="G106" s="1051"/>
      <c r="H106" s="1047"/>
      <c r="I106" s="959"/>
      <c r="J106" s="2184"/>
      <c r="K106" s="2185"/>
      <c r="L106" s="989"/>
      <c r="M106" s="989"/>
      <c r="N106" s="989"/>
      <c r="O106" s="989"/>
      <c r="P106" s="989"/>
      <c r="Q106" s="989"/>
      <c r="R106" s="989"/>
      <c r="S106" s="989"/>
      <c r="T106" s="989"/>
    </row>
    <row r="107" spans="1:20" ht="15" thickBot="1" x14ac:dyDescent="0.4">
      <c r="A107" s="860"/>
      <c r="B107" s="1039"/>
      <c r="C107" s="1040"/>
      <c r="D107" s="1041"/>
      <c r="E107" s="1044"/>
      <c r="F107" s="964"/>
      <c r="G107" s="1052"/>
      <c r="H107" s="1048"/>
      <c r="I107" s="984"/>
      <c r="J107" s="2186"/>
      <c r="K107" s="2187"/>
      <c r="L107" s="989"/>
      <c r="M107" s="989"/>
      <c r="N107" s="989"/>
      <c r="O107" s="989"/>
      <c r="P107" s="989"/>
      <c r="Q107" s="989"/>
      <c r="R107" s="989"/>
      <c r="S107" s="989"/>
      <c r="T107" s="989"/>
    </row>
    <row r="108" spans="1:20" ht="15" thickBot="1" x14ac:dyDescent="0.4">
      <c r="A108" s="860"/>
      <c r="B108" s="968"/>
      <c r="C108" s="969"/>
      <c r="D108" s="981"/>
      <c r="E108" s="1054">
        <f>SUM(E105:E107)</f>
        <v>0</v>
      </c>
      <c r="F108" s="1053"/>
      <c r="G108" s="969"/>
      <c r="H108" s="1049"/>
      <c r="I108" s="981"/>
      <c r="J108" s="2180"/>
      <c r="K108" s="2181"/>
      <c r="L108" s="989"/>
      <c r="M108" s="989"/>
      <c r="N108" s="989"/>
      <c r="O108" s="989"/>
      <c r="P108" s="989"/>
      <c r="Q108" s="989"/>
      <c r="R108" s="989"/>
      <c r="S108" s="989"/>
      <c r="T108" s="989"/>
    </row>
    <row r="109" spans="1:20" x14ac:dyDescent="0.35">
      <c r="A109" s="860"/>
      <c r="B109" s="978"/>
      <c r="C109" s="860"/>
      <c r="D109" s="860"/>
      <c r="E109" s="860"/>
      <c r="F109" s="860"/>
      <c r="G109" s="860"/>
      <c r="H109" s="860"/>
      <c r="I109" s="860"/>
      <c r="J109" s="860"/>
      <c r="K109" s="860"/>
      <c r="L109" s="989"/>
      <c r="M109" s="989"/>
      <c r="N109" s="989"/>
      <c r="O109" s="989"/>
      <c r="P109" s="989"/>
      <c r="Q109" s="989"/>
      <c r="R109" s="989"/>
      <c r="S109" s="989"/>
      <c r="T109" s="989"/>
    </row>
    <row r="110" spans="1:20" ht="15" thickBot="1" x14ac:dyDescent="0.4">
      <c r="A110" s="860"/>
      <c r="B110" s="998" t="s">
        <v>2232</v>
      </c>
      <c r="C110" s="860"/>
      <c r="D110" s="860"/>
      <c r="E110" s="860"/>
      <c r="F110" s="860"/>
      <c r="G110" s="860"/>
      <c r="H110" s="860"/>
      <c r="I110" s="860"/>
      <c r="J110" s="860"/>
      <c r="K110" s="860"/>
      <c r="L110" s="989"/>
      <c r="M110" s="989"/>
      <c r="N110" s="989"/>
      <c r="O110" s="989"/>
      <c r="P110" s="989"/>
      <c r="Q110" s="989"/>
      <c r="R110" s="989"/>
      <c r="S110" s="989"/>
      <c r="T110" s="989"/>
    </row>
    <row r="111" spans="1:20" x14ac:dyDescent="0.35">
      <c r="A111" s="860"/>
      <c r="B111" s="2169"/>
      <c r="C111" s="2170"/>
      <c r="D111" s="2170"/>
      <c r="E111" s="2170"/>
      <c r="F111" s="2170"/>
      <c r="G111" s="2170"/>
      <c r="H111" s="2170"/>
      <c r="I111" s="2170"/>
      <c r="J111" s="2170"/>
      <c r="K111" s="2171"/>
      <c r="L111" s="989"/>
      <c r="M111" s="989"/>
      <c r="N111" s="989"/>
      <c r="O111" s="989"/>
      <c r="P111" s="989"/>
      <c r="Q111" s="989"/>
      <c r="R111" s="989"/>
      <c r="S111" s="989"/>
      <c r="T111" s="989"/>
    </row>
    <row r="112" spans="1:20" x14ac:dyDescent="0.35">
      <c r="A112" s="860"/>
      <c r="B112" s="2172"/>
      <c r="C112" s="2173"/>
      <c r="D112" s="2173"/>
      <c r="E112" s="2173"/>
      <c r="F112" s="2173"/>
      <c r="G112" s="2173"/>
      <c r="H112" s="2173"/>
      <c r="I112" s="2173"/>
      <c r="J112" s="2173"/>
      <c r="K112" s="2174"/>
      <c r="L112" s="989"/>
      <c r="M112" s="989"/>
      <c r="N112" s="989"/>
      <c r="O112" s="989"/>
      <c r="P112" s="989"/>
      <c r="Q112" s="989"/>
      <c r="R112" s="989"/>
      <c r="S112" s="989"/>
      <c r="T112" s="989"/>
    </row>
    <row r="113" spans="1:20" x14ac:dyDescent="0.35">
      <c r="A113" s="860"/>
      <c r="B113" s="2172"/>
      <c r="C113" s="2173"/>
      <c r="D113" s="2173"/>
      <c r="E113" s="2173"/>
      <c r="F113" s="2173"/>
      <c r="G113" s="2173"/>
      <c r="H113" s="2173"/>
      <c r="I113" s="2173"/>
      <c r="J113" s="2173"/>
      <c r="K113" s="2174"/>
      <c r="L113" s="989"/>
      <c r="M113" s="989"/>
      <c r="N113" s="989"/>
      <c r="O113" s="989"/>
      <c r="P113" s="989"/>
      <c r="Q113" s="989"/>
      <c r="R113" s="989"/>
      <c r="S113" s="989"/>
      <c r="T113" s="989"/>
    </row>
    <row r="114" spans="1:20" ht="15" thickBot="1" x14ac:dyDescent="0.4">
      <c r="A114" s="860"/>
      <c r="B114" s="2166"/>
      <c r="C114" s="2167"/>
      <c r="D114" s="2167"/>
      <c r="E114" s="2167"/>
      <c r="F114" s="2167"/>
      <c r="G114" s="2167"/>
      <c r="H114" s="2167"/>
      <c r="I114" s="2167"/>
      <c r="J114" s="2167"/>
      <c r="K114" s="2168"/>
      <c r="L114" s="989"/>
      <c r="M114" s="989"/>
      <c r="N114" s="989"/>
      <c r="O114" s="989"/>
      <c r="P114" s="989"/>
      <c r="Q114" s="989"/>
      <c r="R114" s="989"/>
      <c r="S114" s="989"/>
      <c r="T114" s="989"/>
    </row>
    <row r="115" spans="1:20" x14ac:dyDescent="0.35">
      <c r="A115" s="860"/>
      <c r="B115" s="978"/>
      <c r="C115" s="860"/>
      <c r="D115" s="860"/>
      <c r="E115" s="860"/>
      <c r="F115" s="860"/>
      <c r="G115" s="860"/>
      <c r="H115" s="860"/>
      <c r="I115" s="860"/>
      <c r="J115" s="860"/>
      <c r="K115" s="860"/>
      <c r="L115" s="989"/>
      <c r="M115" s="989"/>
      <c r="N115" s="989"/>
      <c r="O115" s="989"/>
      <c r="P115" s="989"/>
      <c r="Q115" s="989"/>
      <c r="R115" s="989"/>
      <c r="S115" s="989"/>
      <c r="T115" s="989"/>
    </row>
    <row r="116" spans="1:20" x14ac:dyDescent="0.35">
      <c r="A116" s="860"/>
      <c r="B116" s="978"/>
      <c r="C116" s="860"/>
      <c r="D116" s="860"/>
      <c r="E116" s="860"/>
      <c r="F116" s="860"/>
      <c r="G116" s="860"/>
      <c r="H116" s="860"/>
      <c r="I116" s="860"/>
      <c r="J116" s="860"/>
      <c r="K116" s="860"/>
      <c r="L116" s="989"/>
      <c r="M116" s="989"/>
      <c r="N116" s="989"/>
      <c r="O116" s="989"/>
      <c r="P116" s="989"/>
      <c r="Q116" s="989"/>
      <c r="R116" s="989"/>
      <c r="S116" s="989"/>
      <c r="T116" s="989"/>
    </row>
    <row r="117" spans="1:20" x14ac:dyDescent="0.35">
      <c r="A117" s="860"/>
      <c r="B117" s="978"/>
      <c r="C117" s="860"/>
      <c r="D117" s="860"/>
      <c r="E117" s="860"/>
      <c r="F117" s="860"/>
      <c r="G117" s="860"/>
      <c r="H117" s="860"/>
      <c r="I117" s="860"/>
      <c r="J117" s="860"/>
      <c r="K117" s="860"/>
      <c r="L117" s="989"/>
      <c r="M117" s="989"/>
      <c r="N117" s="989"/>
      <c r="O117" s="989"/>
      <c r="P117" s="989"/>
      <c r="Q117" s="989"/>
      <c r="R117" s="989"/>
      <c r="S117" s="989"/>
      <c r="T117" s="989"/>
    </row>
    <row r="118" spans="1:20" x14ac:dyDescent="0.35">
      <c r="A118" s="860"/>
      <c r="B118" s="978"/>
      <c r="C118" s="860"/>
      <c r="D118" s="860"/>
      <c r="E118" s="860"/>
      <c r="F118" s="860"/>
      <c r="G118" s="860"/>
      <c r="H118" s="860"/>
      <c r="I118" s="860"/>
      <c r="J118" s="860"/>
      <c r="K118" s="860"/>
      <c r="L118" s="989"/>
      <c r="M118" s="989"/>
      <c r="N118" s="989"/>
      <c r="O118" s="989"/>
      <c r="P118" s="989"/>
      <c r="Q118" s="989"/>
      <c r="R118" s="989"/>
      <c r="S118" s="989"/>
      <c r="T118" s="989"/>
    </row>
    <row r="119" spans="1:20" ht="15" thickBot="1" x14ac:dyDescent="0.4">
      <c r="A119" s="860"/>
      <c r="B119" s="860"/>
      <c r="C119" s="860"/>
      <c r="D119" s="860"/>
      <c r="E119" s="860"/>
      <c r="F119" s="860"/>
      <c r="G119" s="860"/>
      <c r="H119" s="860"/>
      <c r="I119" s="860"/>
      <c r="J119" s="860"/>
      <c r="K119" s="860"/>
      <c r="L119" s="989"/>
      <c r="M119" s="989"/>
      <c r="N119" s="989"/>
      <c r="O119" s="989"/>
      <c r="P119" s="989"/>
      <c r="Q119" s="989"/>
      <c r="R119" s="989"/>
      <c r="S119" s="989"/>
      <c r="T119" s="989"/>
    </row>
    <row r="120" spans="1:20" ht="15" thickBot="1" x14ac:dyDescent="0.4">
      <c r="A120" s="860"/>
      <c r="B120" s="2163" t="s">
        <v>2273</v>
      </c>
      <c r="C120" s="2164"/>
      <c r="D120" s="2164"/>
      <c r="E120" s="2164"/>
      <c r="F120" s="2164"/>
      <c r="G120" s="2164"/>
      <c r="H120" s="2164"/>
      <c r="I120" s="2164"/>
      <c r="J120" s="2164"/>
      <c r="K120" s="2164"/>
      <c r="L120" s="2164"/>
      <c r="M120" s="2164"/>
      <c r="N120" s="2164"/>
      <c r="O120" s="2164"/>
      <c r="P120" s="2164"/>
      <c r="Q120" s="2164"/>
      <c r="R120" s="2164"/>
      <c r="S120" s="2164"/>
      <c r="T120" s="2165"/>
    </row>
    <row r="121" spans="1:20" x14ac:dyDescent="0.35">
      <c r="A121" s="988"/>
      <c r="B121" s="988"/>
      <c r="C121" s="988"/>
      <c r="D121" s="988"/>
      <c r="E121" s="988"/>
      <c r="F121" s="988"/>
      <c r="G121" s="988"/>
      <c r="H121" s="988"/>
      <c r="I121" s="988"/>
      <c r="J121" s="988"/>
      <c r="K121" s="988"/>
      <c r="L121" s="989"/>
      <c r="M121" s="989"/>
      <c r="N121" s="989"/>
      <c r="O121" s="989"/>
      <c r="P121" s="989"/>
      <c r="Q121" s="989"/>
      <c r="R121" s="989"/>
      <c r="S121" s="989"/>
      <c r="T121" s="989"/>
    </row>
    <row r="122" spans="1:20" x14ac:dyDescent="0.35">
      <c r="A122" s="989"/>
      <c r="B122" s="990" t="s">
        <v>2244</v>
      </c>
      <c r="C122" s="989"/>
      <c r="D122" s="989"/>
      <c r="E122" s="989"/>
      <c r="F122" s="989"/>
      <c r="G122" s="989"/>
      <c r="H122" s="989"/>
      <c r="I122" s="989"/>
      <c r="J122" s="989"/>
      <c r="K122" s="989"/>
      <c r="L122" s="989"/>
      <c r="M122" s="989"/>
      <c r="N122" s="989"/>
      <c r="O122" s="989"/>
      <c r="P122" s="989"/>
      <c r="Q122" s="989"/>
      <c r="R122" s="989"/>
      <c r="S122" s="989"/>
      <c r="T122" s="989"/>
    </row>
    <row r="123" spans="1:20" x14ac:dyDescent="0.35">
      <c r="A123" s="989"/>
      <c r="B123" s="989"/>
      <c r="C123" s="989"/>
      <c r="D123" s="989"/>
      <c r="E123" s="989"/>
      <c r="F123" s="989"/>
      <c r="G123" s="989"/>
      <c r="H123" s="989"/>
      <c r="I123" s="989"/>
      <c r="J123" s="989"/>
      <c r="K123" s="989"/>
      <c r="L123" s="989"/>
      <c r="M123" s="989"/>
      <c r="N123" s="989"/>
      <c r="O123" s="989"/>
      <c r="P123" s="989"/>
      <c r="Q123" s="989"/>
      <c r="R123" s="989"/>
      <c r="S123" s="989"/>
      <c r="T123" s="989"/>
    </row>
    <row r="124" spans="1:20" ht="15" thickBot="1" x14ac:dyDescent="0.4">
      <c r="A124" s="989"/>
      <c r="B124" s="989"/>
      <c r="C124" s="989"/>
      <c r="D124" s="989"/>
      <c r="E124" s="989"/>
      <c r="F124" s="989"/>
      <c r="G124" s="989"/>
      <c r="H124" s="989"/>
      <c r="I124" s="989"/>
      <c r="J124" s="989"/>
      <c r="K124" s="989"/>
      <c r="L124" s="989"/>
      <c r="M124" s="989"/>
      <c r="N124" s="989"/>
      <c r="O124" s="989"/>
      <c r="P124" s="989"/>
      <c r="Q124" s="989"/>
      <c r="R124" s="989"/>
      <c r="S124" s="989"/>
      <c r="T124" s="989"/>
    </row>
    <row r="125" spans="1:20" ht="15" thickBot="1" x14ac:dyDescent="0.4">
      <c r="A125" s="989"/>
      <c r="B125" s="989"/>
      <c r="C125" s="2202" t="s">
        <v>2245</v>
      </c>
      <c r="D125" s="2253"/>
      <c r="E125" s="2205" t="s">
        <v>2246</v>
      </c>
      <c r="F125" s="2205"/>
      <c r="G125" s="2205"/>
      <c r="H125" s="2205"/>
      <c r="I125" s="2206"/>
      <c r="J125" s="1018"/>
      <c r="K125" s="989"/>
      <c r="L125" s="989"/>
      <c r="M125" s="989"/>
      <c r="N125" s="989"/>
      <c r="O125" s="989"/>
      <c r="P125" s="989"/>
      <c r="Q125" s="989"/>
      <c r="R125" s="989"/>
      <c r="S125" s="989"/>
      <c r="T125" s="989"/>
    </row>
    <row r="126" spans="1:20" ht="23.5" thickBot="1" x14ac:dyDescent="0.4">
      <c r="A126" s="989"/>
      <c r="B126" s="1088" t="s">
        <v>2067</v>
      </c>
      <c r="C126" s="999" t="s">
        <v>2068</v>
      </c>
      <c r="D126" s="1081" t="s">
        <v>2069</v>
      </c>
      <c r="E126" s="1074" t="s">
        <v>2247</v>
      </c>
      <c r="F126" s="1000" t="s">
        <v>2226</v>
      </c>
      <c r="G126" s="1025" t="s">
        <v>2069</v>
      </c>
      <c r="H126" s="1000" t="s">
        <v>2248</v>
      </c>
      <c r="I126" s="1081" t="s">
        <v>2249</v>
      </c>
      <c r="J126" s="1081" t="s">
        <v>2318</v>
      </c>
      <c r="K126" s="989"/>
      <c r="L126" s="989"/>
      <c r="M126" s="989"/>
      <c r="N126" s="989"/>
      <c r="O126" s="989"/>
      <c r="P126" s="989"/>
      <c r="Q126" s="989"/>
      <c r="R126" s="989"/>
      <c r="S126" s="989"/>
      <c r="T126" s="989"/>
    </row>
    <row r="127" spans="1:20" ht="38.25" customHeight="1" x14ac:dyDescent="0.35">
      <c r="A127" s="989"/>
      <c r="B127" s="1089" t="str">
        <f>+IF(Anagrafica!$G$2="Capo II","Opere murarie e assimilate","Acquisto immobile sede dell'attività")</f>
        <v>Acquisto immobile sede dell'attività</v>
      </c>
      <c r="C127" s="1094">
        <f ca="1">+Anagrafica!I30</f>
        <v>0</v>
      </c>
      <c r="D127" s="1079">
        <f ca="1">+Anagrafica!J30</f>
        <v>0</v>
      </c>
      <c r="E127" s="1075" t="e" cm="1">
        <f t="array" aca="1" ref="E127" ca="1">+SUMIF(Categoriesalunico,B127,Imponibilesalunico)</f>
        <v>#REF!</v>
      </c>
      <c r="F127" s="1064" t="e" cm="1">
        <f t="array" aca="1" ref="F127" ca="1">+SUMIF(Categoriesalunico,B127,Realizzatosalunico)</f>
        <v>#REF!</v>
      </c>
      <c r="G127" s="1064" t="e" cm="1">
        <f t="array" aca="1" ref="G127" ca="1">+SUMIF(Categoriesalunico,B127,Ammessosalunico)</f>
        <v>#REF!</v>
      </c>
      <c r="H127" s="1064" t="str">
        <f ca="1">IFERROR(+G127*Anagrafica!F38,"")</f>
        <v/>
      </c>
      <c r="I127" s="1086">
        <v>0</v>
      </c>
      <c r="J127" s="1082" t="e">
        <f ca="1">+IF(C127-F127&lt;0,0,C127-F127)</f>
        <v>#REF!</v>
      </c>
      <c r="K127" s="989"/>
      <c r="L127" s="1018"/>
      <c r="M127" s="989"/>
      <c r="N127" s="989"/>
      <c r="O127" s="989"/>
      <c r="P127" s="989"/>
      <c r="Q127" s="989"/>
      <c r="S127" s="989"/>
      <c r="T127" s="989"/>
    </row>
    <row r="128" spans="1:20" ht="41.25" customHeight="1" x14ac:dyDescent="0.35">
      <c r="A128" s="989"/>
      <c r="B128" s="1090" t="str">
        <f>+IF(Anagrafica!$G$2="Capo II","Macchinari, impianti ed attrezzature","Opere murarie e assimilate")</f>
        <v>Opere murarie e assimilate</v>
      </c>
      <c r="C128" s="1095">
        <f ca="1">+Anagrafica!I31</f>
        <v>0</v>
      </c>
      <c r="D128" s="1065">
        <f>+Anagrafica!J31</f>
        <v>0</v>
      </c>
      <c r="E128" s="1075" t="e" cm="1">
        <f t="array" aca="1" ref="E128" ca="1">+SUMIF(Categoriesalunico,B128,Imponibilesalunico)</f>
        <v>#REF!</v>
      </c>
      <c r="F128" s="1066" t="e" cm="1">
        <f t="array" aca="1" ref="F128" ca="1">+SUMIF(Categoriesalunico,B128,Realizzatosalunico)</f>
        <v>#REF!</v>
      </c>
      <c r="G128" s="1066" t="e" cm="1">
        <f t="array" aca="1" ref="G128" ca="1">+SUMIF(Categoriesalunico,B128,Ammessosalunico)</f>
        <v>#REF!</v>
      </c>
      <c r="H128" s="1066" t="e">
        <f ca="1">+IF(Anagrafica!$G$2="Capo II",(G128*Anagrafica!$F$38-I128),G128*Anagrafica!$F$38)</f>
        <v>#REF!</v>
      </c>
      <c r="I128" s="1065">
        <f ca="1">+IFERROR((G128/'Calcolo contributo CAPO II'!$C$23)*Anagrafica!$C$37,0)</f>
        <v>0</v>
      </c>
      <c r="J128" s="1082" t="e">
        <f t="shared" ref="J128:J134" ca="1" si="0">+IF(C128-F128&lt;0,0,C128-F128)</f>
        <v>#REF!</v>
      </c>
      <c r="K128" s="1018"/>
      <c r="L128" s="1018"/>
      <c r="M128" s="989"/>
      <c r="N128" s="989"/>
      <c r="O128" s="989"/>
      <c r="P128" s="989"/>
      <c r="Q128" s="989"/>
      <c r="R128" s="989"/>
      <c r="S128" s="989"/>
      <c r="T128" s="989"/>
    </row>
    <row r="129" spans="1:20" ht="70.5" customHeight="1" x14ac:dyDescent="0.35">
      <c r="A129" s="989"/>
      <c r="B129" s="1091" t="str">
        <f>+IF(Anagrafica!$G$2="Capo II","Programmi informatici e servizi per le tecnologie dell’informazione e della comunicazione","Macchinari, impianti ed attrezzature")</f>
        <v>Macchinari, impianti ed attrezzature</v>
      </c>
      <c r="C129" s="1095">
        <f ca="1">+Anagrafica!I32</f>
        <v>10000</v>
      </c>
      <c r="D129" s="1065">
        <f>+Anagrafica!J32</f>
        <v>0</v>
      </c>
      <c r="E129" s="1075" t="e" cm="1">
        <f t="array" aca="1" ref="E129" ca="1">+SUMIF(Categoriesalunico,B129,Imponibilesalunico)</f>
        <v>#REF!</v>
      </c>
      <c r="F129" s="1066" t="e" cm="1">
        <f t="array" aca="1" ref="F129" ca="1">+SUMIF(Categoriesalunico,B129,Realizzatosalunico)</f>
        <v>#REF!</v>
      </c>
      <c r="G129" s="1066" t="e" cm="1">
        <f t="array" aca="1" ref="G129" ca="1">+SUMIF(Categoriesalunico,B129,Ammessosalunico)</f>
        <v>#REF!</v>
      </c>
      <c r="H129" s="1066" t="e">
        <f ca="1">+(G129*Anagrafica!$F$38-I129)</f>
        <v>#REF!</v>
      </c>
      <c r="I129" s="1065" t="e">
        <f ca="1">IF(Anagrafica!$G$2="Capo II",(G129/'Calcolo contributo CAPO II'!$C$23)*Anagrafica!$C$37,G129/(GBER!$C$11+GBER!$C$13)*Anagrafica!$C$37)</f>
        <v>#REF!</v>
      </c>
      <c r="J129" s="1082" t="e">
        <f t="shared" ca="1" si="0"/>
        <v>#REF!</v>
      </c>
      <c r="K129" s="1018"/>
      <c r="L129" s="1018"/>
      <c r="M129" s="1018"/>
      <c r="N129" s="1018"/>
      <c r="O129" s="989"/>
      <c r="P129" s="989"/>
      <c r="Q129" s="989"/>
      <c r="R129" s="1018"/>
      <c r="S129" s="989"/>
      <c r="T129" s="989"/>
    </row>
    <row r="130" spans="1:20" ht="45.75" customHeight="1" x14ac:dyDescent="0.35">
      <c r="A130" s="989"/>
      <c r="B130" s="1091" t="str">
        <f>+IF(Anagrafica!$G$2="Capo II","Acquisto di brevetti o acquisizione di relative licenze d’uso","Programmi informatici, brevetti, licenze e marchi")</f>
        <v>Programmi informatici, brevetti, licenze e marchi</v>
      </c>
      <c r="C130" s="1095">
        <f ca="1">+Anagrafica!I33</f>
        <v>0</v>
      </c>
      <c r="D130" s="1065">
        <f ca="1">+Anagrafica!J33</f>
        <v>0</v>
      </c>
      <c r="E130" s="1075" t="e" cm="1">
        <f t="array" aca="1" ref="E130" ca="1">+SUMIF(Categoriesalunico,B130,Imponibilesalunico)</f>
        <v>#REF!</v>
      </c>
      <c r="F130" s="1066" t="e" cm="1">
        <f t="array" aca="1" ref="F130" ca="1">+SUMIF(Categoriesalunico,B130,Realizzatosalunico)</f>
        <v>#REF!</v>
      </c>
      <c r="G130" s="1066" t="e" cm="1">
        <f t="array" aca="1" ref="G130" ca="1">+SUMIF(Categoriesalunico,B130,Ammessosalunico)</f>
        <v>#REF!</v>
      </c>
      <c r="H130" s="1066" t="e">
        <f ca="1">+G130*Anagrafica!$F$38-I130</f>
        <v>#REF!</v>
      </c>
      <c r="I130" s="1065" t="e">
        <f ca="1">IF(Anagrafica!$G$2="Capo II",(G130/'Calcolo contributo CAPO II'!$C$23)*Anagrafica!$C$37,G130/(GBER!$C$11+GBER!$C$13)*Anagrafica!$C$37)</f>
        <v>#REF!</v>
      </c>
      <c r="J130" s="1082" t="e">
        <f t="shared" ca="1" si="0"/>
        <v>#REF!</v>
      </c>
      <c r="K130" s="989"/>
      <c r="L130" s="1018"/>
      <c r="M130" s="1028"/>
      <c r="N130" s="989"/>
      <c r="O130" s="989"/>
      <c r="P130" s="989"/>
      <c r="Q130" s="989"/>
      <c r="R130" s="989"/>
      <c r="S130" s="989"/>
      <c r="T130" s="989"/>
    </row>
    <row r="131" spans="1:20" ht="39" customHeight="1" x14ac:dyDescent="0.35">
      <c r="A131" s="989"/>
      <c r="B131" s="1091" t="str">
        <f>+IF(Anagrafica!$G$2="Capo II","Consulenze specialistiche","TOTALE PROGRAMMA DI SPESA")</f>
        <v>TOTALE PROGRAMMA DI SPESA</v>
      </c>
      <c r="C131" s="1095">
        <f ca="1">+Anagrafica!I34</f>
        <v>10000</v>
      </c>
      <c r="D131" s="1065">
        <f ca="1">+Anagrafica!J34</f>
        <v>0</v>
      </c>
      <c r="E131" s="1075" t="e" cm="1">
        <f t="array" aca="1" ref="E131" ca="1">IF(Anagrafica!$G$2="Capo II",+SUMIF(Categoriesalunico,B131,Imponibilesalunico),SUM(E127:E130))</f>
        <v>#REF!</v>
      </c>
      <c r="F131" s="1066" t="e" cm="1">
        <f t="array" aca="1" ref="F131" ca="1">+IF(Anagrafica!$G$2="Capo II",+SUMIF(Categoriesalunico,B131,Realizzatosalunico),SUM(F127:F130))</f>
        <v>#REF!</v>
      </c>
      <c r="G131" s="1066" t="e" cm="1">
        <f t="array" aca="1" ref="G131" ca="1">IF(Anagrafica!$G$2="Capo II",+SUMIF(Categoriesalunico,B131,Ammessosalunico),SUM(G127:G130))</f>
        <v>#REF!</v>
      </c>
      <c r="H131" s="1066">
        <f ca="1">IFERROR(IF(Anagrafica!$G$2="Capo II",+G131*Anagrafica!$F$38,SUM(H127:H130)),0)</f>
        <v>0</v>
      </c>
      <c r="I131" s="1065">
        <f ca="1">IFERROR(IF(Anagrafica!$G$2="Capo II",0,SUM(I127:I130)),0)</f>
        <v>0</v>
      </c>
      <c r="J131" s="1082" t="e">
        <f t="shared" ca="1" si="0"/>
        <v>#REF!</v>
      </c>
      <c r="K131" s="989"/>
      <c r="L131" s="1018"/>
      <c r="M131" s="989"/>
      <c r="N131" s="989"/>
      <c r="O131" s="1018"/>
      <c r="P131" s="989"/>
      <c r="Q131" s="989"/>
      <c r="R131" s="989"/>
      <c r="S131" s="989"/>
      <c r="T131" s="989"/>
    </row>
    <row r="132" spans="1:20" ht="44.25" customHeight="1" thickBot="1" x14ac:dyDescent="0.4">
      <c r="A132" s="989"/>
      <c r="B132" s="1092" t="str">
        <f>+IF(Anagrafica!$G$2="Capo II","Oneri notarili connessi alla stipula del contratto di finanziamento ed oneri connessi alla costituzione della società","")</f>
        <v/>
      </c>
      <c r="C132" s="1096" t="str">
        <f>+Anagrafica!I35</f>
        <v/>
      </c>
      <c r="D132" s="1072" t="str">
        <f>+Anagrafica!J35</f>
        <v/>
      </c>
      <c r="E132" s="1075" t="e" cm="1">
        <f t="array" aca="1" ref="E132" ca="1">+SUMIF(Categoriesalunico,B132,Imponibilesalunico)</f>
        <v>#REF!</v>
      </c>
      <c r="F132" s="1068" t="e" cm="1">
        <f t="array" aca="1" ref="F132" ca="1">+SUMIF(Categoriesalunico,B132,Realizzatosalunico)</f>
        <v>#REF!</v>
      </c>
      <c r="G132" s="1068" t="e" cm="1">
        <f t="array" aca="1" ref="G132" ca="1">+SUMIF(Categoriesalunico,B132,Ammessosalunico)</f>
        <v>#REF!</v>
      </c>
      <c r="H132" s="1064" t="str">
        <f ca="1">IFERROR(+G132*Anagrafica!F40,"")</f>
        <v/>
      </c>
      <c r="I132" s="1072">
        <v>0</v>
      </c>
      <c r="J132" s="1082" t="e">
        <f t="shared" ca="1" si="0"/>
        <v>#VALUE!</v>
      </c>
      <c r="K132" s="989"/>
      <c r="L132" s="989"/>
      <c r="M132" s="989"/>
      <c r="N132" s="989"/>
      <c r="O132" s="989"/>
      <c r="P132" s="989"/>
      <c r="Q132" s="989"/>
      <c r="R132" s="989"/>
      <c r="S132" s="989"/>
      <c r="T132" s="989"/>
    </row>
    <row r="133" spans="1:20" ht="28.5" customHeight="1" thickBot="1" x14ac:dyDescent="0.4">
      <c r="A133" s="989"/>
      <c r="B133" s="1093" t="str">
        <f>+IF(Anagrafica!$G$2="Capo II","TOTALE INVESTIMENTO","")</f>
        <v/>
      </c>
      <c r="C133" s="1097" t="str">
        <f>+Anagrafica!I36</f>
        <v/>
      </c>
      <c r="D133" s="1080" t="str">
        <f>+Anagrafica!J36</f>
        <v/>
      </c>
      <c r="E133" s="1076" t="e">
        <f t="shared" ref="E133:I133" ca="1" si="1">+SUM(E127:E132)</f>
        <v>#REF!</v>
      </c>
      <c r="F133" s="1070" t="e">
        <f t="shared" ca="1" si="1"/>
        <v>#REF!</v>
      </c>
      <c r="G133" s="1070" t="e">
        <f t="shared" ca="1" si="1"/>
        <v>#REF!</v>
      </c>
      <c r="H133" s="1070" t="e">
        <f t="shared" ca="1" si="1"/>
        <v>#REF!</v>
      </c>
      <c r="I133" s="1071" t="e">
        <f t="shared" ca="1" si="1"/>
        <v>#REF!</v>
      </c>
      <c r="J133" s="1083" t="e">
        <f ca="1">+SUM(J127:J132)</f>
        <v>#REF!</v>
      </c>
      <c r="K133" s="989"/>
      <c r="L133" s="989"/>
      <c r="M133" s="989"/>
      <c r="N133" s="989"/>
      <c r="O133" s="989"/>
      <c r="P133" s="989"/>
      <c r="Q133" s="989"/>
      <c r="R133" s="989"/>
      <c r="S133" s="989"/>
      <c r="T133" s="989"/>
    </row>
    <row r="134" spans="1:20" ht="27.75" customHeight="1" thickBot="1" x14ac:dyDescent="0.4">
      <c r="A134" s="989"/>
      <c r="B134" s="1092" t="str">
        <f>+IF(Anagrafica!$G$2="Capo II","Capitale circolante","")</f>
        <v/>
      </c>
      <c r="C134" s="1096">
        <f>+Anagrafica!C31</f>
        <v>0</v>
      </c>
      <c r="D134" s="1072">
        <f>+Anagrafica!C31</f>
        <v>0</v>
      </c>
      <c r="E134" s="1067">
        <f>+E84</f>
        <v>0</v>
      </c>
      <c r="F134" s="1067">
        <f>+E85</f>
        <v>0</v>
      </c>
      <c r="G134" s="1067">
        <f>+E85</f>
        <v>0</v>
      </c>
      <c r="H134" s="1064">
        <f ca="1">IFERROR(+E85*Anagrafica!$F$38,0)</f>
        <v>0</v>
      </c>
      <c r="I134" s="1086">
        <v>0</v>
      </c>
      <c r="J134" s="1082">
        <f t="shared" si="0"/>
        <v>0</v>
      </c>
      <c r="K134" s="989"/>
      <c r="L134" s="989"/>
      <c r="M134" s="989"/>
      <c r="N134" s="989"/>
      <c r="O134" s="989"/>
      <c r="P134" s="989"/>
      <c r="R134" s="989"/>
      <c r="S134" s="989"/>
      <c r="T134" s="989"/>
    </row>
    <row r="135" spans="1:20" ht="31.5" customHeight="1" thickBot="1" x14ac:dyDescent="0.4">
      <c r="A135" s="989"/>
      <c r="B135" s="1093" t="str">
        <f>+IF(Anagrafica!G2="Capo II","TOTALE PROGRAMMA DI SPESA","")</f>
        <v/>
      </c>
      <c r="C135" s="1070" t="str">
        <f>+Anagrafica!I38</f>
        <v/>
      </c>
      <c r="D135" s="1070" t="str">
        <f>+Anagrafica!J38</f>
        <v/>
      </c>
      <c r="E135" s="1070" t="e">
        <f ca="1">+E133+E134</f>
        <v>#REF!</v>
      </c>
      <c r="F135" s="1070" t="e">
        <f ca="1">+F133+F134</f>
        <v>#REF!</v>
      </c>
      <c r="G135" s="1070" t="e">
        <f ca="1">+G133+G134</f>
        <v>#REF!</v>
      </c>
      <c r="H135" s="1070" t="e">
        <f ca="1">+H134+H133</f>
        <v>#REF!</v>
      </c>
      <c r="I135" s="1071" t="e">
        <f ca="1">+I133</f>
        <v>#REF!</v>
      </c>
      <c r="J135" s="1083" t="e">
        <f ca="1">+J134+J133</f>
        <v>#REF!</v>
      </c>
      <c r="K135" s="989"/>
      <c r="L135" s="989"/>
      <c r="M135" s="989"/>
      <c r="N135" s="989"/>
      <c r="O135" s="989"/>
      <c r="P135" s="989"/>
      <c r="Q135" s="989"/>
      <c r="R135" s="989"/>
      <c r="S135" s="989"/>
      <c r="T135" s="989"/>
    </row>
    <row r="136" spans="1:20" x14ac:dyDescent="0.35">
      <c r="A136" s="989"/>
      <c r="B136" s="989"/>
      <c r="C136" s="989"/>
      <c r="D136" s="989"/>
      <c r="E136" s="989"/>
      <c r="F136" s="989"/>
      <c r="G136" s="989"/>
      <c r="H136" s="989"/>
      <c r="I136" s="989"/>
      <c r="J136" s="989"/>
      <c r="K136" s="989"/>
      <c r="L136" s="989"/>
      <c r="M136" s="989"/>
      <c r="N136" s="989"/>
      <c r="O136" s="989"/>
      <c r="P136" s="989"/>
      <c r="Q136" s="989"/>
      <c r="R136" s="989"/>
      <c r="S136" s="989"/>
      <c r="T136" s="989"/>
    </row>
    <row r="137" spans="1:20" ht="15" thickBot="1" x14ac:dyDescent="0.4">
      <c r="A137" s="989"/>
      <c r="B137" s="989"/>
      <c r="C137" s="989"/>
      <c r="D137" s="989"/>
      <c r="E137" s="989"/>
      <c r="F137" s="989"/>
      <c r="G137" s="989"/>
      <c r="H137" s="989"/>
      <c r="I137" s="989"/>
      <c r="J137" s="989"/>
      <c r="K137" s="989"/>
      <c r="L137" s="989"/>
      <c r="M137" s="989"/>
      <c r="N137" s="989"/>
      <c r="O137" s="989"/>
      <c r="P137" s="989"/>
      <c r="Q137" s="989"/>
      <c r="R137" s="989"/>
      <c r="S137" s="989"/>
      <c r="T137" s="989"/>
    </row>
    <row r="138" spans="1:20" ht="15" thickBot="1" x14ac:dyDescent="0.4">
      <c r="A138" s="989"/>
      <c r="B138" s="2232" t="s">
        <v>2163</v>
      </c>
      <c r="C138" s="2233"/>
      <c r="D138" s="2233"/>
      <c r="E138" s="2234"/>
      <c r="F138" s="1119"/>
      <c r="G138" s="989"/>
      <c r="H138" s="989"/>
      <c r="I138" s="989"/>
      <c r="J138" s="989"/>
      <c r="K138" s="989"/>
      <c r="L138" s="989"/>
      <c r="M138" s="989"/>
      <c r="N138" s="989"/>
      <c r="O138" s="989"/>
      <c r="P138" s="989"/>
      <c r="Q138" s="989"/>
      <c r="R138" s="989"/>
      <c r="S138" s="989"/>
      <c r="T138" s="989"/>
    </row>
    <row r="139" spans="1:20" x14ac:dyDescent="0.35">
      <c r="A139" s="989"/>
      <c r="B139" s="2209" t="s">
        <v>2251</v>
      </c>
      <c r="C139" s="2209"/>
      <c r="D139" s="2209"/>
      <c r="E139" s="2209"/>
      <c r="F139" s="1114" t="e">
        <f ca="1">+IF(Anagrafica!$G$2="Capo II",E135,E131)</f>
        <v>#REF!</v>
      </c>
      <c r="G139" s="989"/>
      <c r="H139" s="989"/>
      <c r="I139" s="989"/>
      <c r="J139" s="989"/>
      <c r="K139" s="989"/>
      <c r="L139" s="989"/>
      <c r="M139" s="989"/>
      <c r="N139" s="989"/>
      <c r="O139" s="989"/>
      <c r="P139" s="989"/>
      <c r="Q139" s="989"/>
      <c r="R139" s="989"/>
      <c r="S139" s="989"/>
      <c r="T139" s="989"/>
    </row>
    <row r="140" spans="1:20" x14ac:dyDescent="0.35">
      <c r="A140" s="989"/>
      <c r="B140" s="2208" t="s">
        <v>2252</v>
      </c>
      <c r="C140" s="2208"/>
      <c r="D140" s="2208"/>
      <c r="E140" s="2208"/>
      <c r="F140" s="1115" t="e">
        <f ca="1">+IF(Anagrafica!$G$2="Capo II",F135,F131)</f>
        <v>#REF!</v>
      </c>
      <c r="G140" s="989"/>
      <c r="H140" s="989"/>
      <c r="I140" s="989"/>
      <c r="J140" s="989"/>
      <c r="K140" s="989"/>
      <c r="L140" s="989"/>
      <c r="M140" s="989"/>
      <c r="N140" s="989"/>
      <c r="O140" s="989"/>
      <c r="P140" s="989"/>
      <c r="Q140" s="989"/>
      <c r="R140" s="989"/>
      <c r="S140" s="989"/>
      <c r="T140" s="989"/>
    </row>
    <row r="141" spans="1:20" x14ac:dyDescent="0.35">
      <c r="A141" s="989"/>
      <c r="B141" s="2208" t="s">
        <v>2253</v>
      </c>
      <c r="C141" s="2208"/>
      <c r="D141" s="2208"/>
      <c r="E141" s="2208"/>
      <c r="F141" s="1115" t="e">
        <f ca="1">+IF(Anagrafica!$G$2="Capo II",G135,G131)</f>
        <v>#REF!</v>
      </c>
      <c r="G141" s="989"/>
      <c r="H141" s="989"/>
      <c r="I141" s="989"/>
      <c r="J141" s="989"/>
      <c r="K141" s="989"/>
      <c r="L141" s="989"/>
      <c r="M141" s="989"/>
      <c r="N141" s="989"/>
      <c r="O141" s="989"/>
      <c r="P141" s="989"/>
      <c r="Q141" s="989"/>
      <c r="R141" s="989"/>
      <c r="S141" s="989"/>
      <c r="T141" s="989"/>
    </row>
    <row r="142" spans="1:20" x14ac:dyDescent="0.35">
      <c r="A142" s="989"/>
      <c r="B142" s="2208" t="s">
        <v>2254</v>
      </c>
      <c r="C142" s="2208"/>
      <c r="D142" s="2208"/>
      <c r="E142" s="2208"/>
      <c r="F142" s="1116">
        <f ca="1">+IF(Anagrafica!$G$2="Capo II",H135,H131)</f>
        <v>0</v>
      </c>
      <c r="G142" s="989"/>
      <c r="H142" s="989"/>
      <c r="I142" s="989"/>
      <c r="J142" s="989"/>
      <c r="K142" s="989"/>
      <c r="L142" s="989"/>
      <c r="M142" s="989"/>
      <c r="N142" s="989"/>
      <c r="O142" s="989"/>
      <c r="P142" s="989"/>
      <c r="Q142" s="989"/>
      <c r="R142" s="989"/>
      <c r="S142" s="989"/>
      <c r="T142" s="989"/>
    </row>
    <row r="143" spans="1:20" x14ac:dyDescent="0.35">
      <c r="A143" s="989"/>
      <c r="B143" s="2208" t="s">
        <v>2319</v>
      </c>
      <c r="C143" s="2208"/>
      <c r="D143" s="2208"/>
      <c r="E143" s="2208"/>
      <c r="F143" s="1116" t="e">
        <f ca="1">+Anticipo!F47*(F141/Anagrafica!C32)</f>
        <v>#REF!</v>
      </c>
      <c r="G143" s="989"/>
      <c r="H143" s="989"/>
      <c r="I143" s="989"/>
      <c r="J143" s="989"/>
      <c r="K143" s="989"/>
      <c r="L143" s="989"/>
      <c r="M143" s="989"/>
      <c r="N143" s="989"/>
      <c r="O143" s="989"/>
      <c r="P143" s="989"/>
      <c r="Q143" s="989"/>
      <c r="R143" s="989"/>
      <c r="S143" s="989"/>
      <c r="T143" s="989"/>
    </row>
    <row r="144" spans="1:20" ht="15" thickBot="1" x14ac:dyDescent="0.4">
      <c r="A144" s="989"/>
      <c r="B144" s="2210" t="s">
        <v>1776</v>
      </c>
      <c r="C144" s="2210"/>
      <c r="D144" s="2210"/>
      <c r="E144" s="2210"/>
      <c r="F144" s="1117">
        <f ca="1">+IF(Anagrafica!$G$2="Capo II",I135,I131)</f>
        <v>0</v>
      </c>
      <c r="G144" s="989"/>
      <c r="H144" s="989"/>
      <c r="I144" s="989"/>
      <c r="J144" s="989"/>
      <c r="K144" s="989"/>
      <c r="L144" s="989"/>
      <c r="M144" s="989"/>
      <c r="N144" s="989"/>
      <c r="O144" s="989"/>
      <c r="P144" s="989"/>
      <c r="Q144" s="989"/>
      <c r="R144" s="989"/>
      <c r="S144" s="989"/>
      <c r="T144" s="989"/>
    </row>
    <row r="145" spans="1:20" ht="15" thickBot="1" x14ac:dyDescent="0.4">
      <c r="A145" s="989"/>
      <c r="B145" s="2231" t="s">
        <v>2256</v>
      </c>
      <c r="C145" s="2231"/>
      <c r="D145" s="2231"/>
      <c r="E145" s="2231"/>
      <c r="F145" s="1118" t="e">
        <f ca="1">+F142-F143+F144</f>
        <v>#REF!</v>
      </c>
      <c r="G145" s="989"/>
      <c r="H145" s="989"/>
      <c r="I145" s="989"/>
      <c r="J145" s="989"/>
      <c r="K145" s="989"/>
      <c r="L145" s="989"/>
      <c r="M145" s="989"/>
      <c r="N145" s="989"/>
      <c r="O145" s="989"/>
      <c r="P145" s="989"/>
      <c r="Q145" s="989"/>
      <c r="R145" s="989"/>
      <c r="S145" s="989"/>
      <c r="T145" s="989"/>
    </row>
    <row r="146" spans="1:20" ht="15" thickBot="1" x14ac:dyDescent="0.4">
      <c r="A146" s="989"/>
      <c r="B146" s="989"/>
      <c r="C146" s="989"/>
      <c r="D146" s="989"/>
      <c r="E146" s="989"/>
      <c r="F146" s="989"/>
      <c r="G146" s="989"/>
      <c r="H146" s="2161" t="s">
        <v>2165</v>
      </c>
      <c r="I146" s="2162"/>
      <c r="J146" s="1203"/>
      <c r="K146" s="989"/>
      <c r="L146" s="989"/>
      <c r="M146" s="989"/>
      <c r="N146" s="989"/>
      <c r="O146" s="989"/>
      <c r="P146" s="989"/>
      <c r="Q146" s="989"/>
      <c r="R146" s="989"/>
      <c r="S146" s="989"/>
      <c r="T146" s="989"/>
    </row>
    <row r="147" spans="1:20" ht="15" thickBot="1" x14ac:dyDescent="0.4">
      <c r="A147" s="989"/>
      <c r="B147" s="989"/>
      <c r="C147" s="989"/>
      <c r="D147" s="989"/>
      <c r="E147" s="989"/>
      <c r="F147" s="989"/>
      <c r="G147" s="989"/>
      <c r="H147" s="2161" t="s">
        <v>2166</v>
      </c>
      <c r="I147" s="2162"/>
      <c r="J147" s="1203"/>
      <c r="K147" s="989"/>
      <c r="L147" s="989"/>
      <c r="M147" s="989"/>
      <c r="N147" s="989"/>
      <c r="O147" s="989"/>
      <c r="P147" s="989"/>
      <c r="Q147" s="989"/>
      <c r="R147" s="989"/>
      <c r="S147" s="989"/>
      <c r="T147" s="989"/>
    </row>
    <row r="148" spans="1:20" ht="15" thickBot="1" x14ac:dyDescent="0.4">
      <c r="A148" s="989"/>
      <c r="B148" s="989"/>
      <c r="C148" s="989"/>
      <c r="D148" s="989"/>
      <c r="E148" s="989"/>
      <c r="F148" s="989"/>
      <c r="G148" s="989"/>
      <c r="H148" s="2194" t="s">
        <v>2167</v>
      </c>
      <c r="I148" s="2195"/>
      <c r="J148" s="1203"/>
      <c r="K148" s="989"/>
      <c r="L148" s="989"/>
      <c r="M148" s="989"/>
      <c r="N148" s="989"/>
      <c r="O148" s="989"/>
      <c r="P148" s="989"/>
      <c r="Q148" s="989"/>
      <c r="R148" s="989"/>
      <c r="S148" s="989"/>
      <c r="T148" s="989"/>
    </row>
    <row r="149" spans="1:20" x14ac:dyDescent="0.35">
      <c r="A149" s="989"/>
      <c r="B149" s="989"/>
      <c r="C149" s="989"/>
      <c r="D149" s="989"/>
      <c r="E149" s="989"/>
      <c r="F149" s="989"/>
      <c r="G149" s="989"/>
      <c r="H149" s="989"/>
      <c r="I149" s="989"/>
      <c r="J149" s="989"/>
      <c r="K149" s="989"/>
      <c r="L149" s="989"/>
      <c r="M149" s="989"/>
      <c r="N149" s="989"/>
      <c r="O149" s="989"/>
      <c r="P149" s="989"/>
      <c r="Q149" s="989"/>
      <c r="R149" s="989"/>
      <c r="S149" s="989"/>
      <c r="T149" s="989"/>
    </row>
    <row r="150" spans="1:20" x14ac:dyDescent="0.35">
      <c r="A150" s="989"/>
      <c r="B150" s="989"/>
      <c r="C150" s="989"/>
      <c r="D150" s="989"/>
      <c r="E150" s="989"/>
      <c r="F150" s="989"/>
      <c r="G150" s="989"/>
      <c r="H150" s="989"/>
      <c r="I150" s="989"/>
      <c r="J150" s="989"/>
      <c r="K150" s="989"/>
      <c r="L150" s="989"/>
      <c r="M150" s="989"/>
      <c r="N150" s="989"/>
      <c r="O150" s="989"/>
      <c r="P150" s="989"/>
      <c r="Q150" s="989"/>
      <c r="R150" s="989"/>
      <c r="S150" s="989"/>
      <c r="T150" s="989"/>
    </row>
    <row r="151" spans="1:20" x14ac:dyDescent="0.35">
      <c r="A151" s="989"/>
      <c r="B151" s="989"/>
      <c r="C151" s="989"/>
      <c r="D151" s="989"/>
      <c r="E151" s="989"/>
      <c r="F151" s="989"/>
      <c r="G151" s="989"/>
      <c r="H151" s="989"/>
      <c r="I151" s="989"/>
      <c r="J151" s="989"/>
      <c r="K151" s="989"/>
      <c r="L151" s="989"/>
      <c r="M151" s="989"/>
      <c r="N151" s="989"/>
      <c r="O151" s="989"/>
      <c r="P151" s="989"/>
      <c r="Q151" s="989"/>
      <c r="R151" s="989"/>
      <c r="S151" s="989"/>
      <c r="T151" s="989"/>
    </row>
    <row r="152" spans="1:20" x14ac:dyDescent="0.35">
      <c r="A152" s="989"/>
      <c r="B152" s="989"/>
      <c r="C152" s="989"/>
      <c r="D152" s="989"/>
      <c r="E152" s="989"/>
      <c r="F152" s="989"/>
      <c r="G152" s="989"/>
      <c r="H152" s="989"/>
      <c r="I152" s="989"/>
      <c r="J152" s="989"/>
      <c r="K152" s="989"/>
      <c r="L152" s="989"/>
      <c r="M152" s="989"/>
      <c r="N152" s="989"/>
      <c r="O152" s="989"/>
      <c r="P152" s="989"/>
      <c r="Q152" s="989"/>
      <c r="R152" s="989"/>
      <c r="S152" s="989"/>
      <c r="T152" s="989"/>
    </row>
    <row r="153" spans="1:20" x14ac:dyDescent="0.35">
      <c r="A153" s="989"/>
      <c r="B153" s="989"/>
      <c r="C153" s="989"/>
      <c r="D153" s="989"/>
      <c r="E153" s="989"/>
      <c r="F153" s="989"/>
      <c r="G153" s="989"/>
      <c r="H153" s="989"/>
      <c r="I153" s="989"/>
      <c r="J153" s="989"/>
      <c r="K153" s="989"/>
      <c r="L153" s="989"/>
      <c r="M153" s="989"/>
      <c r="N153" s="989"/>
      <c r="O153" s="989"/>
      <c r="P153" s="989"/>
      <c r="Q153" s="989"/>
      <c r="R153" s="989"/>
      <c r="S153" s="989"/>
      <c r="T153" s="989"/>
    </row>
    <row r="154" spans="1:20" x14ac:dyDescent="0.35">
      <c r="A154" s="989"/>
      <c r="B154" s="989"/>
      <c r="C154" s="989"/>
      <c r="D154" s="989"/>
      <c r="E154" s="989"/>
      <c r="F154" s="989"/>
      <c r="G154" s="989"/>
      <c r="H154" s="989"/>
      <c r="I154" s="989"/>
      <c r="J154" s="989"/>
      <c r="K154" s="989"/>
      <c r="L154" s="989"/>
      <c r="M154" s="989"/>
      <c r="N154" s="989"/>
      <c r="O154" s="989"/>
      <c r="P154" s="989"/>
      <c r="Q154" s="989"/>
      <c r="R154" s="989"/>
      <c r="S154" s="989"/>
      <c r="T154" s="989"/>
    </row>
    <row r="155" spans="1:20" x14ac:dyDescent="0.35">
      <c r="A155" s="989"/>
      <c r="B155" s="989"/>
      <c r="C155" s="989"/>
      <c r="D155" s="989"/>
      <c r="E155" s="989"/>
      <c r="F155" s="989"/>
      <c r="G155" s="989"/>
      <c r="H155" s="989"/>
      <c r="I155" s="989"/>
      <c r="J155" s="989"/>
      <c r="K155" s="989"/>
      <c r="L155" s="989"/>
      <c r="M155" s="989"/>
      <c r="N155" s="989"/>
      <c r="O155" s="989"/>
      <c r="P155" s="989"/>
      <c r="Q155" s="989"/>
      <c r="R155" s="989"/>
      <c r="S155" s="989"/>
      <c r="T155" s="989"/>
    </row>
    <row r="156" spans="1:20" x14ac:dyDescent="0.35">
      <c r="A156" s="989"/>
      <c r="B156" s="989"/>
      <c r="C156" s="989"/>
      <c r="D156" s="989"/>
      <c r="E156" s="989"/>
      <c r="F156" s="989"/>
      <c r="G156" s="989"/>
      <c r="H156" s="989"/>
      <c r="I156" s="989"/>
      <c r="J156" s="989"/>
      <c r="K156" s="989"/>
      <c r="L156" s="989"/>
      <c r="M156" s="989"/>
      <c r="N156" s="989"/>
      <c r="O156" s="989"/>
      <c r="P156" s="989"/>
      <c r="Q156" s="989"/>
      <c r="R156" s="989"/>
      <c r="S156" s="989"/>
      <c r="T156" s="989"/>
    </row>
    <row r="157" spans="1:20" x14ac:dyDescent="0.35">
      <c r="A157" s="989"/>
      <c r="B157" s="989"/>
      <c r="C157" s="989"/>
      <c r="D157" s="989"/>
      <c r="E157" s="989"/>
      <c r="F157" s="989"/>
      <c r="G157" s="989"/>
      <c r="H157" s="989"/>
      <c r="I157" s="989"/>
      <c r="J157" s="989"/>
      <c r="K157" s="989"/>
      <c r="L157" s="989"/>
      <c r="M157" s="989"/>
      <c r="N157" s="989"/>
      <c r="O157" s="989"/>
      <c r="P157" s="989"/>
      <c r="Q157" s="989"/>
      <c r="R157" s="989"/>
      <c r="S157" s="989"/>
      <c r="T157" s="989"/>
    </row>
    <row r="158" spans="1:20" x14ac:dyDescent="0.35">
      <c r="A158" s="989"/>
      <c r="B158" s="989"/>
      <c r="C158" s="989"/>
      <c r="D158" s="989"/>
      <c r="E158" s="989"/>
      <c r="F158" s="989"/>
      <c r="G158" s="989"/>
      <c r="H158" s="989"/>
      <c r="I158" s="989"/>
      <c r="J158" s="989"/>
      <c r="K158" s="989"/>
      <c r="L158" s="989"/>
      <c r="M158" s="989"/>
      <c r="N158" s="989"/>
      <c r="O158" s="989"/>
      <c r="P158" s="989"/>
      <c r="Q158" s="989"/>
      <c r="R158" s="989"/>
      <c r="S158" s="989"/>
      <c r="T158" s="989"/>
    </row>
    <row r="159" spans="1:20" x14ac:dyDescent="0.35">
      <c r="A159" s="989"/>
      <c r="B159" s="989"/>
      <c r="C159" s="989"/>
      <c r="D159" s="989"/>
      <c r="E159" s="989"/>
      <c r="F159" s="989"/>
      <c r="G159" s="989"/>
      <c r="H159" s="989"/>
      <c r="I159" s="989"/>
      <c r="J159" s="989"/>
      <c r="K159" s="989"/>
      <c r="L159" s="989"/>
      <c r="M159" s="989"/>
      <c r="N159" s="989"/>
      <c r="O159" s="989"/>
      <c r="P159" s="989"/>
      <c r="Q159" s="989"/>
      <c r="R159" s="989"/>
      <c r="S159" s="989"/>
      <c r="T159" s="989"/>
    </row>
    <row r="160" spans="1:20" x14ac:dyDescent="0.35">
      <c r="A160" s="989"/>
      <c r="B160" s="989"/>
      <c r="C160" s="989"/>
      <c r="D160" s="989"/>
      <c r="E160" s="989"/>
      <c r="F160" s="989"/>
      <c r="G160" s="989"/>
      <c r="H160" s="989"/>
      <c r="I160" s="989"/>
      <c r="J160" s="989"/>
      <c r="K160" s="989"/>
      <c r="L160" s="989"/>
      <c r="M160" s="989"/>
      <c r="N160" s="989"/>
      <c r="O160" s="989"/>
      <c r="P160" s="989"/>
      <c r="Q160" s="989"/>
      <c r="R160" s="989"/>
      <c r="S160" s="989"/>
      <c r="T160" s="989"/>
    </row>
    <row r="161" spans="1:20" x14ac:dyDescent="0.35">
      <c r="A161" s="989"/>
      <c r="B161" s="989"/>
      <c r="C161" s="989"/>
      <c r="D161" s="989"/>
      <c r="E161" s="989"/>
      <c r="F161" s="989"/>
      <c r="G161" s="989"/>
      <c r="H161" s="989"/>
      <c r="I161" s="989"/>
      <c r="J161" s="989"/>
      <c r="K161" s="989"/>
      <c r="L161" s="989"/>
      <c r="M161" s="989"/>
      <c r="N161" s="989"/>
      <c r="O161" s="989"/>
      <c r="P161" s="989"/>
      <c r="Q161" s="989"/>
      <c r="R161" s="989"/>
      <c r="S161" s="989"/>
      <c r="T161" s="989"/>
    </row>
    <row r="162" spans="1:20" x14ac:dyDescent="0.35">
      <c r="A162" s="989"/>
      <c r="B162" s="989"/>
      <c r="C162" s="989"/>
      <c r="D162" s="989"/>
      <c r="E162" s="989"/>
      <c r="F162" s="989"/>
      <c r="G162" s="989"/>
      <c r="H162" s="989"/>
      <c r="I162" s="989"/>
      <c r="J162" s="989"/>
      <c r="K162" s="989"/>
      <c r="L162" s="989"/>
      <c r="M162" s="989"/>
      <c r="N162" s="989"/>
      <c r="O162" s="989"/>
      <c r="P162" s="989"/>
      <c r="Q162" s="989"/>
      <c r="R162" s="989"/>
      <c r="S162" s="989"/>
      <c r="T162" s="989"/>
    </row>
    <row r="163" spans="1:20" x14ac:dyDescent="0.35">
      <c r="A163" s="989"/>
      <c r="B163" s="989"/>
      <c r="C163" s="989"/>
      <c r="D163" s="989"/>
      <c r="E163" s="989"/>
      <c r="F163" s="989"/>
      <c r="G163" s="989"/>
      <c r="H163" s="989"/>
      <c r="I163" s="989"/>
      <c r="J163" s="989"/>
      <c r="K163" s="989"/>
      <c r="L163" s="989"/>
      <c r="M163" s="989"/>
      <c r="N163" s="989"/>
      <c r="O163" s="989"/>
      <c r="P163" s="989"/>
      <c r="Q163" s="989"/>
      <c r="R163" s="989"/>
      <c r="S163" s="989"/>
      <c r="T163" s="989"/>
    </row>
    <row r="164" spans="1:20" s="989" customFormat="1" x14ac:dyDescent="0.35"/>
    <row r="165" spans="1:20" s="989" customFormat="1" x14ac:dyDescent="0.35"/>
    <row r="166" spans="1:20" s="989" customFormat="1" x14ac:dyDescent="0.35"/>
    <row r="167" spans="1:20" s="989" customFormat="1" x14ac:dyDescent="0.35"/>
    <row r="168" spans="1:20" s="989" customFormat="1" x14ac:dyDescent="0.35"/>
    <row r="169" spans="1:20" s="989" customFormat="1" x14ac:dyDescent="0.35"/>
    <row r="170" spans="1:20" s="989" customFormat="1" x14ac:dyDescent="0.35"/>
    <row r="171" spans="1:20" s="989" customFormat="1" x14ac:dyDescent="0.35"/>
    <row r="172" spans="1:20" s="989" customFormat="1" x14ac:dyDescent="0.35"/>
    <row r="173" spans="1:20" s="989" customFormat="1" x14ac:dyDescent="0.35"/>
    <row r="174" spans="1:20" s="989" customFormat="1" x14ac:dyDescent="0.35"/>
    <row r="175" spans="1:20" s="989" customFormat="1" x14ac:dyDescent="0.35"/>
    <row r="176" spans="1:20" s="989" customFormat="1" x14ac:dyDescent="0.35"/>
    <row r="177" s="989" customFormat="1" x14ac:dyDescent="0.35"/>
    <row r="178" s="989" customFormat="1" x14ac:dyDescent="0.35"/>
    <row r="179" s="989" customFormat="1" x14ac:dyDescent="0.35"/>
  </sheetData>
  <mergeCells count="122">
    <mergeCell ref="Q71:R71"/>
    <mergeCell ref="Q72:R72"/>
    <mergeCell ref="Q73:R73"/>
    <mergeCell ref="Q74:R74"/>
    <mergeCell ref="J88:K88"/>
    <mergeCell ref="J89:K89"/>
    <mergeCell ref="J90:K90"/>
    <mergeCell ref="J91:K91"/>
    <mergeCell ref="B80:R80"/>
    <mergeCell ref="B81:R81"/>
    <mergeCell ref="B84:D84"/>
    <mergeCell ref="B85:D85"/>
    <mergeCell ref="B22:K24"/>
    <mergeCell ref="B66:T66"/>
    <mergeCell ref="B77:R77"/>
    <mergeCell ref="B78:R78"/>
    <mergeCell ref="B79:R79"/>
    <mergeCell ref="G39:I39"/>
    <mergeCell ref="B40:E40"/>
    <mergeCell ref="G40:I40"/>
    <mergeCell ref="B41:E41"/>
    <mergeCell ref="G41:I41"/>
    <mergeCell ref="B42:E42"/>
    <mergeCell ref="G42:I42"/>
    <mergeCell ref="B43:E43"/>
    <mergeCell ref="G43:I43"/>
    <mergeCell ref="B45:E45"/>
    <mergeCell ref="G45:I45"/>
    <mergeCell ref="B26:B28"/>
    <mergeCell ref="B36:E36"/>
    <mergeCell ref="G36:I36"/>
    <mergeCell ref="B37:E37"/>
    <mergeCell ref="G37:I37"/>
    <mergeCell ref="B39:E39"/>
    <mergeCell ref="G56:I56"/>
    <mergeCell ref="B57:E57"/>
    <mergeCell ref="B30:I30"/>
    <mergeCell ref="B31:E31"/>
    <mergeCell ref="G31:I31"/>
    <mergeCell ref="B32:E32"/>
    <mergeCell ref="G32:I32"/>
    <mergeCell ref="B33:E33"/>
    <mergeCell ref="G33:I33"/>
    <mergeCell ref="B34:I34"/>
    <mergeCell ref="B35:E35"/>
    <mergeCell ref="G35:I35"/>
    <mergeCell ref="B46:I46"/>
    <mergeCell ref="B47:E47"/>
    <mergeCell ref="G47:I47"/>
    <mergeCell ref="B48:E48"/>
    <mergeCell ref="B49:E49"/>
    <mergeCell ref="B50:E50"/>
    <mergeCell ref="B51:E51"/>
    <mergeCell ref="B52:E52"/>
    <mergeCell ref="B53:E53"/>
    <mergeCell ref="G48:I48"/>
    <mergeCell ref="G49:I49"/>
    <mergeCell ref="G50:I50"/>
    <mergeCell ref="G51:I51"/>
    <mergeCell ref="G52:I52"/>
    <mergeCell ref="G53:I53"/>
    <mergeCell ref="B21:K21"/>
    <mergeCell ref="B2:K2"/>
    <mergeCell ref="C4:F4"/>
    <mergeCell ref="B6:G6"/>
    <mergeCell ref="H6:K6"/>
    <mergeCell ref="B8:K8"/>
    <mergeCell ref="B10:B11"/>
    <mergeCell ref="C10:K11"/>
    <mergeCell ref="C13:D13"/>
    <mergeCell ref="G13:K13"/>
    <mergeCell ref="C15:K15"/>
    <mergeCell ref="B16:K16"/>
    <mergeCell ref="B20:K20"/>
    <mergeCell ref="G57:I57"/>
    <mergeCell ref="B58:E58"/>
    <mergeCell ref="G58:I58"/>
    <mergeCell ref="B54:E54"/>
    <mergeCell ref="G54:I54"/>
    <mergeCell ref="B55:E55"/>
    <mergeCell ref="G55:I55"/>
    <mergeCell ref="B56:E56"/>
    <mergeCell ref="H146:I146"/>
    <mergeCell ref="B113:K113"/>
    <mergeCell ref="B138:E138"/>
    <mergeCell ref="B139:E139"/>
    <mergeCell ref="B140:E140"/>
    <mergeCell ref="B120:T120"/>
    <mergeCell ref="C125:D125"/>
    <mergeCell ref="E125:I125"/>
    <mergeCell ref="B114:K114"/>
    <mergeCell ref="B97:K97"/>
    <mergeCell ref="J92:K92"/>
    <mergeCell ref="J104:K104"/>
    <mergeCell ref="J105:K105"/>
    <mergeCell ref="J106:K106"/>
    <mergeCell ref="J107:K107"/>
    <mergeCell ref="J108:K108"/>
    <mergeCell ref="H147:I147"/>
    <mergeCell ref="H148:I148"/>
    <mergeCell ref="B62:E62"/>
    <mergeCell ref="G62:I62"/>
    <mergeCell ref="B63:E63"/>
    <mergeCell ref="G63:I63"/>
    <mergeCell ref="B59:E59"/>
    <mergeCell ref="G59:I59"/>
    <mergeCell ref="B60:E60"/>
    <mergeCell ref="G60:I60"/>
    <mergeCell ref="B61:E61"/>
    <mergeCell ref="G61:I61"/>
    <mergeCell ref="B98:K98"/>
    <mergeCell ref="B102:T102"/>
    <mergeCell ref="B111:K111"/>
    <mergeCell ref="B96:K96"/>
    <mergeCell ref="B95:K95"/>
    <mergeCell ref="B144:E144"/>
    <mergeCell ref="B145:E145"/>
    <mergeCell ref="B141:E141"/>
    <mergeCell ref="B142:E142"/>
    <mergeCell ref="B143:E143"/>
    <mergeCell ref="B112:K112"/>
    <mergeCell ref="Q70:R70"/>
  </mergeCells>
  <conditionalFormatting sqref="E108">
    <cfRule type="expression" dxfId="14" priority="19">
      <formula>IF(SUMIFS(Imponibilesal3,Quietanzasal3,"NO")&gt;$E$108,1,0)</formula>
    </cfRule>
  </conditionalFormatting>
  <dataValidations count="8">
    <dataValidation type="list" allowBlank="1" showInputMessage="1" showErrorMessage="1" sqref="H89:I91 F36:F37 M71:P73 F33 H105:I107" xr:uid="{25876297-6F1C-4730-B594-544ED957A3A3}">
      <formula1>"Si,No"</formula1>
    </dataValidation>
    <dataValidation type="decimal" operator="greaterThan" allowBlank="1" showInputMessage="1" showErrorMessage="1" errorTitle="prova" error="prova" sqref="C17" xr:uid="{1AF6E2CB-4839-4256-B879-600F96F18BC0}">
      <formula1>K17*0.1</formula1>
    </dataValidation>
    <dataValidation operator="greaterThan" allowBlank="1" showInputMessage="1" showErrorMessage="1" errorTitle="prova" error="prova" sqref="D17" xr:uid="{3FF52C28-2746-4702-A202-56FA83E67B81}"/>
    <dataValidation errorStyle="warning" operator="lessThanOrEqual" allowBlank="1" showInputMessage="1" showErrorMessage="1" errorTitle="Superamento Livello anticipo" error="Il valore richiesto è superiore al 40% previsto dalla normativa" sqref="E17" xr:uid="{E2D40DDB-5B42-421E-9A93-D0CFDB9B9AE7}"/>
    <dataValidation type="list" allowBlank="1" showInputMessage="1" showErrorMessage="1" sqref="E83" xr:uid="{0F42362B-A451-46B0-8541-D5337921B8DB}">
      <formula1>"SI,NO"</formula1>
    </dataValidation>
    <dataValidation type="list" allowBlank="1" showInputMessage="1" showErrorMessage="1" sqref="F40:F45 F48:F63" xr:uid="{E6BAD23E-B20A-4764-A7BC-0BA8C53C33FC}">
      <formula1>"Si,No,Non neces."</formula1>
    </dataValidation>
    <dataValidation type="list" allowBlank="1" showInputMessage="1" showErrorMessage="1" sqref="F32" xr:uid="{3B861E21-2F43-4E2A-9249-9227A52F8E85}">
      <formula1>"Si,No,"</formula1>
    </dataValidation>
    <dataValidation type="list" allowBlank="1" showInputMessage="1" showErrorMessage="1" sqref="H27:H28" xr:uid="{523C450D-046E-487C-9B12-0B01F768E5DD}">
      <formula1>"Digitale,Cartacea"</formula1>
    </dataValidation>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expression" priority="21" id="{1287F49E-8793-4255-9499-DF03E16E021D}">
            <xm:f>+IF(Anagrafica!$G$2="Capo III",1,0)</xm:f>
            <x14:dxf>
              <font>
                <b/>
                <i val="0"/>
              </font>
              <fill>
                <patternFill>
                  <bgColor theme="8" tint="0.59996337778862885"/>
                </patternFill>
              </fill>
              <border>
                <top style="thin">
                  <color auto="1"/>
                </top>
                <bottom style="thin">
                  <color auto="1"/>
                </bottom>
              </border>
            </x14:dxf>
          </x14:cfRule>
          <xm:sqref>B131</xm:sqref>
        </x14:conditionalFormatting>
        <x14:conditionalFormatting xmlns:xm="http://schemas.microsoft.com/office/excel/2006/main">
          <x14:cfRule type="expression" priority="20" id="{6275046B-6A03-4E1D-9809-98B1AD486884}">
            <xm:f>+IF(Anagrafica!$G$2="Capo III",1,0)</xm:f>
            <x14:dxf>
              <fill>
                <patternFill>
                  <bgColor theme="8" tint="0.59996337778862885"/>
                </patternFill>
              </fill>
            </x14:dxf>
          </x14:cfRule>
          <xm:sqref>C131:J131</xm:sqref>
        </x14:conditionalFormatting>
        <x14:conditionalFormatting xmlns:xm="http://schemas.microsoft.com/office/excel/2006/main">
          <x14:cfRule type="expression" priority="18" id="{C73E75CC-45C0-4504-A2CC-4DCC78FC4A8E}">
            <xm:f>+IF(Anagrafica!$G$2="Capo III",1,0)</xm:f>
            <x14:dxf>
              <font>
                <color theme="0"/>
              </font>
              <fill>
                <patternFill>
                  <bgColor theme="0"/>
                </patternFill>
              </fill>
              <border>
                <left/>
                <right/>
                <top/>
                <bottom/>
                <vertical/>
                <horizontal/>
              </border>
            </x14:dxf>
          </x14:cfRule>
          <xm:sqref>B132:J135</xm:sqref>
        </x14:conditionalFormatting>
        <x14:conditionalFormatting xmlns:xm="http://schemas.microsoft.com/office/excel/2006/main">
          <x14:cfRule type="expression" priority="17" id="{F44EAFF3-18E9-455C-9573-E940326B4ADC}">
            <xm:f>+IF(Anagrafica!$G$2="Capo III",1,0)</xm:f>
            <x14:dxf>
              <border>
                <left/>
                <right/>
                <top style="thin">
                  <color auto="1"/>
                </top>
                <bottom/>
                <vertical/>
                <horizontal/>
              </border>
            </x14:dxf>
          </x14:cfRule>
          <xm:sqref>B132:J132</xm:sqref>
        </x14:conditionalFormatting>
        <x14:conditionalFormatting xmlns:xm="http://schemas.microsoft.com/office/excel/2006/main">
          <x14:cfRule type="expression" priority="6" id="{6FCB6C06-B116-49AB-87BF-4AFF8E8473FD}">
            <xm:f>IF(Anagrafica!$C$38&lt;=150000,1,0)</xm:f>
            <x14:dxf>
              <font>
                <color theme="0"/>
              </font>
              <fill>
                <patternFill>
                  <bgColor theme="0"/>
                </patternFill>
              </fill>
              <border>
                <left/>
                <right/>
                <top/>
                <bottom/>
              </border>
            </x14:dxf>
          </x14:cfRule>
          <xm:sqref>B30:I33</xm:sqref>
        </x14:conditionalFormatting>
        <x14:conditionalFormatting xmlns:xm="http://schemas.microsoft.com/office/excel/2006/main">
          <x14:cfRule type="expression" priority="3" id="{264DCF69-2284-460C-9A4E-44E0A6BFA8FC}">
            <xm:f>+IF(Anagrafica!$C$42&lt;&gt;"n.a.",1,0)</xm:f>
            <x14:dxf>
              <border>
                <top style="dashed">
                  <color auto="1"/>
                </top>
                <vertical/>
                <horizontal/>
              </border>
            </x14:dxf>
          </x14:cfRule>
          <x14:cfRule type="expression" priority="5" id="{CDD5E65F-5CCD-423B-8754-8E8B0EDEB922}">
            <xm:f>+IF(Anagrafica!$C$42="n.a.",1,0)</xm:f>
            <x14:dxf>
              <font>
                <color theme="0"/>
              </font>
              <fill>
                <patternFill>
                  <bgColor theme="0"/>
                </patternFill>
              </fill>
              <border>
                <left/>
                <right/>
              </border>
            </x14:dxf>
          </x14:cfRule>
          <xm:sqref>B37:I37</xm:sqref>
        </x14:conditionalFormatting>
        <x14:conditionalFormatting xmlns:xm="http://schemas.microsoft.com/office/excel/2006/main">
          <x14:cfRule type="expression" priority="4" id="{A0252916-E99E-4E85-BBE2-BA42F25B6BCC}">
            <xm:f>+IF(AND(Anagrafica!$C$41="n.a.",Anagrafica!$C$42="n.a."),1,0)</xm:f>
            <x14:dxf>
              <font>
                <color theme="0"/>
              </font>
              <fill>
                <patternFill>
                  <bgColor theme="0"/>
                </patternFill>
              </fill>
              <border>
                <left/>
                <right/>
                <bottom/>
                <vertical/>
                <horizontal/>
              </border>
            </x14:dxf>
          </x14:cfRule>
          <xm:sqref>B34:I37</xm:sqref>
        </x14:conditionalFormatting>
        <x14:conditionalFormatting xmlns:xm="http://schemas.microsoft.com/office/excel/2006/main">
          <x14:cfRule type="expression" priority="2" id="{73B1240C-2522-4A72-A232-A0C9C3495660}">
            <xm:f>+IF(AND(Anagrafica!$C$41="n.a.",Anagrafica!$C$42="n.a."),1,0)</xm:f>
            <x14:dxf>
              <font>
                <color theme="0"/>
              </font>
              <fill>
                <patternFill>
                  <bgColor theme="0"/>
                </patternFill>
              </fill>
              <border>
                <left/>
                <right/>
                <top/>
                <bottom/>
                <vertical/>
                <horizontal/>
              </border>
            </x14:dxf>
          </x14:cfRule>
          <xm:sqref>B26:J28</xm:sqref>
        </x14:conditionalFormatting>
        <x14:conditionalFormatting xmlns:xm="http://schemas.microsoft.com/office/excel/2006/main">
          <x14:cfRule type="expression" priority="1" id="{C9EED043-ED7F-40E0-AFA8-52A68DE587F7}">
            <xm:f>+IF(Anagrafica!$C$42="n.a.",1,0)</xm:f>
            <x14:dxf>
              <font>
                <color theme="0"/>
              </font>
              <fill>
                <patternFill>
                  <bgColor theme="0"/>
                </patternFill>
              </fill>
              <border>
                <right/>
                <bottom/>
              </border>
            </x14:dxf>
          </x14:cfRule>
          <xm:sqref>C28:J28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18E8A473-3D90-424A-80EE-97A986BD74C9}">
          <x14:formula1>
            <xm:f>IF('Dati riepilogativi'!$B$2="Capo II",CAPOII_Att,CapoIII_ATT)</xm:f>
          </x14:formula1>
          <xm:sqref>I71:I73</xm:sqref>
        </x14:dataValidation>
      </x14:dataValidations>
    </ext>
  </extLst>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AA039-8D41-4C0F-B81C-123B3CB5F1F9}">
  <sheetPr codeName="Foglio34"/>
  <dimension ref="A1:L58"/>
  <sheetViews>
    <sheetView topLeftCell="A18" zoomScaleNormal="100" workbookViewId="0">
      <selection activeCell="B16" sqref="B16"/>
    </sheetView>
  </sheetViews>
  <sheetFormatPr defaultRowHeight="14.5" x14ac:dyDescent="0.35"/>
  <cols>
    <col min="1" max="1" width="9.1796875" style="902"/>
    <col min="2" max="2" width="20.7265625" style="902" customWidth="1"/>
    <col min="3" max="3" width="8" style="902" customWidth="1"/>
    <col min="4" max="5" width="10.453125" style="902" bestFit="1" customWidth="1"/>
    <col min="6" max="6" width="9.1796875" style="902"/>
    <col min="7" max="7" width="12" style="902" customWidth="1"/>
    <col min="8" max="8" width="17.453125" style="902" customWidth="1"/>
    <col min="12" max="12" width="13.26953125" bestFit="1" customWidth="1"/>
  </cols>
  <sheetData>
    <row r="1" spans="2:12" ht="15" thickBot="1" x14ac:dyDescent="0.4">
      <c r="B1" s="929" t="s">
        <v>2168</v>
      </c>
      <c r="C1" s="929"/>
      <c r="D1" s="929"/>
      <c r="E1" s="929"/>
      <c r="F1" s="929"/>
      <c r="G1" s="929"/>
      <c r="H1" s="929"/>
    </row>
    <row r="2" spans="2:12" ht="15" thickBot="1" x14ac:dyDescent="0.4">
      <c r="B2" s="2065" t="s">
        <v>2169</v>
      </c>
      <c r="C2" s="2066"/>
      <c r="D2" s="2067"/>
      <c r="E2" s="930" t="s">
        <v>2170</v>
      </c>
      <c r="F2" s="929"/>
      <c r="G2" s="929"/>
      <c r="H2" s="929"/>
    </row>
    <row r="3" spans="2:12" x14ac:dyDescent="0.35">
      <c r="B3" s="929"/>
      <c r="C3" s="929"/>
      <c r="D3" s="929"/>
      <c r="E3" s="929"/>
      <c r="F3" s="929"/>
      <c r="G3" s="929"/>
      <c r="H3" s="929"/>
    </row>
    <row r="4" spans="2:12" ht="15.5" x14ac:dyDescent="0.35">
      <c r="B4" s="903" t="str">
        <f>+CONCATENATE("Mandato di Erogazione SAL UNICO PROT. ",C7)</f>
        <v>Mandato di Erogazione SAL UNICO PROT. 0</v>
      </c>
      <c r="E4" s="931"/>
    </row>
    <row r="5" spans="2:12" x14ac:dyDescent="0.35">
      <c r="B5" s="902" t="s">
        <v>2171</v>
      </c>
    </row>
    <row r="6" spans="2:12" ht="15" thickBot="1" x14ac:dyDescent="0.4"/>
    <row r="7" spans="2:12" x14ac:dyDescent="0.35">
      <c r="B7" s="904" t="s">
        <v>2172</v>
      </c>
      <c r="C7" s="2068">
        <f>+Anagrafica!C2</f>
        <v>0</v>
      </c>
      <c r="D7" s="2068"/>
      <c r="E7" s="2068"/>
      <c r="F7" s="2068"/>
      <c r="G7" s="2068"/>
      <c r="H7" s="2069"/>
    </row>
    <row r="8" spans="2:12" x14ac:dyDescent="0.35">
      <c r="B8" s="905" t="s">
        <v>2173</v>
      </c>
      <c r="C8" s="2070">
        <f>+Anagrafica!C17</f>
        <v>0</v>
      </c>
      <c r="D8" s="2070"/>
      <c r="E8" s="2070"/>
      <c r="F8" s="2070"/>
      <c r="G8" s="2070"/>
      <c r="H8" s="2071"/>
    </row>
    <row r="9" spans="2:12" x14ac:dyDescent="0.35">
      <c r="B9" s="905" t="s">
        <v>2174</v>
      </c>
      <c r="C9" s="2070">
        <f>+Anagrafica!C18</f>
        <v>0</v>
      </c>
      <c r="D9" s="2070"/>
      <c r="E9" s="2070"/>
      <c r="F9" s="2070"/>
      <c r="G9" s="2070"/>
      <c r="H9" s="2071"/>
    </row>
    <row r="10" spans="2:12" x14ac:dyDescent="0.35">
      <c r="B10" s="905" t="s">
        <v>2175</v>
      </c>
      <c r="C10" s="2070">
        <f>+Anagrafica!C9</f>
        <v>0</v>
      </c>
      <c r="D10" s="2070"/>
      <c r="E10" s="2070"/>
      <c r="F10" s="2070"/>
      <c r="G10" s="2070"/>
      <c r="H10" s="2071"/>
    </row>
    <row r="11" spans="2:12" ht="30" customHeight="1" x14ac:dyDescent="0.35">
      <c r="B11" s="1121" t="s">
        <v>2264</v>
      </c>
      <c r="C11" s="2223" t="str">
        <f>+Anagrafica!C24</f>
        <v>NIT2 - Fondo Unico - NIT 2.0</v>
      </c>
      <c r="D11" s="2224"/>
      <c r="E11" s="2224"/>
      <c r="F11" s="2224"/>
      <c r="G11" s="2224"/>
      <c r="H11" s="2225"/>
    </row>
    <row r="12" spans="2:12" ht="29.5" thickBot="1" x14ac:dyDescent="0.4">
      <c r="B12" s="906" t="s">
        <v>2265</v>
      </c>
      <c r="C12" s="2220" t="str">
        <f>+Anagrafica!C25</f>
        <v>NIT2 - NIT 2.0 - Fondo perduto</v>
      </c>
      <c r="D12" s="2221"/>
      <c r="E12" s="2221"/>
      <c r="F12" s="2221"/>
      <c r="G12" s="2221"/>
      <c r="H12" s="2222"/>
    </row>
    <row r="14" spans="2:12" x14ac:dyDescent="0.35">
      <c r="B14" s="2074" t="s">
        <v>2339</v>
      </c>
      <c r="C14" s="2074"/>
      <c r="D14" s="2074"/>
      <c r="E14" s="2074"/>
      <c r="F14" s="2074"/>
      <c r="G14" s="2074"/>
      <c r="H14" s="2074"/>
    </row>
    <row r="15" spans="2:12" ht="21" customHeight="1" thickBot="1" x14ac:dyDescent="0.4">
      <c r="B15" s="2075"/>
      <c r="C15" s="2075"/>
      <c r="D15" s="2075"/>
      <c r="E15" s="2075"/>
      <c r="F15" s="2075"/>
      <c r="G15" s="2075"/>
      <c r="H15" s="2075"/>
    </row>
    <row r="16" spans="2:12" x14ac:dyDescent="0.35">
      <c r="B16" s="904" t="s">
        <v>2178</v>
      </c>
      <c r="C16" s="2076" t="e">
        <f ca="1">+'SAL UNICO'!F145</f>
        <v>#REF!</v>
      </c>
      <c r="D16" s="2076"/>
      <c r="E16" s="2076"/>
      <c r="F16" s="2076"/>
      <c r="G16" s="2076"/>
      <c r="H16" s="2077"/>
      <c r="L16" s="813"/>
    </row>
    <row r="17" spans="2:8" ht="15" thickBot="1" x14ac:dyDescent="0.4">
      <c r="B17" s="2078" t="e" cm="1">
        <f t="array" aca="1" ref="B17" ca="1">+NumToLet(C16)</f>
        <v>#NAME?</v>
      </c>
      <c r="C17" s="2079"/>
      <c r="D17" s="2079"/>
      <c r="E17" s="2079"/>
      <c r="F17" s="2079"/>
      <c r="G17" s="2079"/>
      <c r="H17" s="2080"/>
    </row>
    <row r="18" spans="2:8" x14ac:dyDescent="0.35">
      <c r="B18" s="904" t="s">
        <v>2266</v>
      </c>
      <c r="C18" s="2076" t="e">
        <f ca="1">+'SAL UNICO'!F142-'SAL UNICO'!F143</f>
        <v>#REF!</v>
      </c>
      <c r="D18" s="2076"/>
      <c r="E18" s="2076"/>
      <c r="F18" s="2076"/>
      <c r="G18" s="2076"/>
      <c r="H18" s="2077"/>
    </row>
    <row r="19" spans="2:8" ht="15" thickBot="1" x14ac:dyDescent="0.4">
      <c r="B19" s="2078" t="e" cm="1">
        <f t="array" aca="1" ref="B19" ca="1">+NumToLet(C18)</f>
        <v>#NAME?</v>
      </c>
      <c r="C19" s="2079"/>
      <c r="D19" s="2079"/>
      <c r="E19" s="2079"/>
      <c r="F19" s="2079"/>
      <c r="G19" s="2079"/>
      <c r="H19" s="2080"/>
    </row>
    <row r="20" spans="2:8" x14ac:dyDescent="0.35">
      <c r="B20" s="904" t="s">
        <v>2267</v>
      </c>
      <c r="C20" s="2076">
        <f ca="1">+'SAL UNICO'!F144</f>
        <v>0</v>
      </c>
      <c r="D20" s="2076"/>
      <c r="E20" s="2076"/>
      <c r="F20" s="2076"/>
      <c r="G20" s="2076"/>
      <c r="H20" s="2077"/>
    </row>
    <row r="21" spans="2:8" ht="15" thickBot="1" x14ac:dyDescent="0.4">
      <c r="B21" s="2078" t="e" cm="1">
        <f t="array" aca="1" ref="B21" ca="1">+NumToLet(C20)</f>
        <v>#NAME?</v>
      </c>
      <c r="C21" s="2079"/>
      <c r="D21" s="2079"/>
      <c r="E21" s="2079"/>
      <c r="F21" s="2079"/>
      <c r="G21" s="2079"/>
      <c r="H21" s="2080"/>
    </row>
    <row r="22" spans="2:8" ht="15" thickBot="1" x14ac:dyDescent="0.4">
      <c r="B22" s="907" t="s">
        <v>2179</v>
      </c>
    </row>
    <row r="23" spans="2:8" x14ac:dyDescent="0.35">
      <c r="B23" s="908" t="s">
        <v>1875</v>
      </c>
      <c r="C23" s="2081">
        <f>+Anagrafica!C6</f>
        <v>0</v>
      </c>
      <c r="D23" s="2081"/>
      <c r="E23" s="2081"/>
      <c r="F23" s="2081"/>
      <c r="G23" s="2081"/>
      <c r="H23" s="2082"/>
    </row>
    <row r="24" spans="2:8" x14ac:dyDescent="0.35">
      <c r="B24" s="909" t="s">
        <v>2180</v>
      </c>
      <c r="C24" s="2083">
        <f>+Anagrafica!C7</f>
        <v>0</v>
      </c>
      <c r="D24" s="2083"/>
      <c r="E24" s="2083"/>
      <c r="F24" s="2083"/>
      <c r="G24" s="2083"/>
      <c r="H24" s="2084"/>
    </row>
    <row r="25" spans="2:8" x14ac:dyDescent="0.35">
      <c r="B25" s="909" t="s">
        <v>628</v>
      </c>
      <c r="C25" s="2083" t="str">
        <f>+Anagrafica!C8</f>
        <v>ROMA</v>
      </c>
      <c r="D25" s="2083"/>
      <c r="E25" s="2083"/>
      <c r="F25" s="2083"/>
      <c r="G25" s="2083"/>
      <c r="H25" s="2084"/>
    </row>
    <row r="26" spans="2:8" x14ac:dyDescent="0.35">
      <c r="B26" s="909" t="s">
        <v>2181</v>
      </c>
      <c r="C26" s="2083">
        <f>+Anagrafica!H7</f>
        <v>0</v>
      </c>
      <c r="D26" s="2083"/>
      <c r="E26" s="2083"/>
      <c r="F26" s="2083"/>
      <c r="G26" s="2083"/>
      <c r="H26" s="2084"/>
    </row>
    <row r="27" spans="2:8" x14ac:dyDescent="0.35">
      <c r="B27" s="909" t="s">
        <v>630</v>
      </c>
      <c r="C27" s="2083" t="str">
        <f>+Anagrafica!H8</f>
        <v>RM</v>
      </c>
      <c r="D27" s="2083"/>
      <c r="E27" s="2083"/>
      <c r="F27" s="2083"/>
      <c r="G27" s="2083"/>
      <c r="H27" s="2084"/>
    </row>
    <row r="28" spans="2:8" x14ac:dyDescent="0.35">
      <c r="B28" s="909" t="s">
        <v>2182</v>
      </c>
      <c r="C28" s="2083">
        <f>+Anagrafica!C11</f>
        <v>0</v>
      </c>
      <c r="D28" s="2083"/>
      <c r="E28" s="2083"/>
      <c r="F28" s="2083"/>
      <c r="G28" s="2083"/>
      <c r="H28" s="2084"/>
    </row>
    <row r="29" spans="2:8" ht="15" thickBot="1" x14ac:dyDescent="0.4">
      <c r="B29" s="910" t="s">
        <v>2183</v>
      </c>
      <c r="C29" s="2085">
        <f>+Anagrafica!C10</f>
        <v>0</v>
      </c>
      <c r="D29" s="2085"/>
      <c r="E29" s="2085"/>
      <c r="F29" s="2085"/>
      <c r="G29" s="2085"/>
      <c r="H29" s="2086"/>
    </row>
    <row r="30" spans="2:8" x14ac:dyDescent="0.35">
      <c r="D30" s="911"/>
    </row>
    <row r="31" spans="2:8" ht="15" thickBot="1" x14ac:dyDescent="0.4">
      <c r="B31" s="907" t="s">
        <v>2184</v>
      </c>
      <c r="D31" s="911"/>
    </row>
    <row r="32" spans="2:8" x14ac:dyDescent="0.35">
      <c r="B32" s="908" t="s">
        <v>1875</v>
      </c>
      <c r="C32" s="2087" t="str">
        <f>+Anagrafica!C46</f>
        <v>BANCA SELLA</v>
      </c>
      <c r="D32" s="2087"/>
      <c r="E32" s="2087"/>
      <c r="F32" s="2087"/>
      <c r="G32" s="2087"/>
      <c r="H32" s="2088"/>
    </row>
    <row r="33" spans="1:8" x14ac:dyDescent="0.35">
      <c r="B33" s="909" t="s">
        <v>2097</v>
      </c>
      <c r="C33" s="2072" t="str">
        <f>+Anagrafica!C47</f>
        <v>AGENZIA 30</v>
      </c>
      <c r="D33" s="2072"/>
      <c r="E33" s="2072"/>
      <c r="F33" s="2072"/>
      <c r="G33" s="2072"/>
      <c r="H33" s="2073"/>
    </row>
    <row r="34" spans="1:8" ht="15" thickBot="1" x14ac:dyDescent="0.4">
      <c r="B34" s="912" t="s">
        <v>630</v>
      </c>
      <c r="C34" s="2089" t="str">
        <f>+Anagrafica!C48</f>
        <v>XXXXXXXXXXXXXX</v>
      </c>
      <c r="D34" s="2089"/>
      <c r="E34" s="2089"/>
      <c r="F34" s="2089"/>
      <c r="G34" s="2089"/>
      <c r="H34" s="2090"/>
    </row>
    <row r="35" spans="1:8" ht="15" thickBot="1" x14ac:dyDescent="0.4"/>
    <row r="36" spans="1:8" ht="15" thickBot="1" x14ac:dyDescent="0.4">
      <c r="A36" s="913"/>
      <c r="B36" s="913"/>
      <c r="C36" s="913"/>
      <c r="D36" s="914" t="s">
        <v>2088</v>
      </c>
      <c r="E36" s="915" t="s">
        <v>2089</v>
      </c>
      <c r="F36" s="915" t="s">
        <v>2090</v>
      </c>
      <c r="G36" s="915" t="s">
        <v>2091</v>
      </c>
      <c r="H36" s="916" t="s">
        <v>2092</v>
      </c>
    </row>
    <row r="37" spans="1:8" ht="15" thickBot="1" x14ac:dyDescent="0.4">
      <c r="A37" s="913"/>
      <c r="B37" s="914" t="s">
        <v>2093</v>
      </c>
      <c r="C37" s="917" t="s">
        <v>2094</v>
      </c>
      <c r="D37" s="918">
        <f>+Anagrafica!D50</f>
        <v>0</v>
      </c>
      <c r="E37" s="918">
        <f>+Anagrafica!E50</f>
        <v>0</v>
      </c>
      <c r="F37" s="918">
        <f>+Anagrafica!F50</f>
        <v>0</v>
      </c>
      <c r="G37" s="918">
        <f>+Anagrafica!G50</f>
        <v>0</v>
      </c>
      <c r="H37" s="919">
        <f>+Anagrafica!H50</f>
        <v>0</v>
      </c>
    </row>
    <row r="39" spans="1:8" ht="15" thickBot="1" x14ac:dyDescent="0.4">
      <c r="B39" s="612" t="str">
        <f ca="1">+IFERROR(+CONCATENATE(TEXT($C$18,"€ #.##0,00")," ", "da addebitare sul conto corrente della Fonte Finanziaria:"),"")</f>
        <v/>
      </c>
    </row>
    <row r="40" spans="1:8" x14ac:dyDescent="0.35">
      <c r="B40" s="920" t="s">
        <v>2096</v>
      </c>
      <c r="C40" s="2091" t="str">
        <f ca="1">+IFERROR(+IF($C$18=0,"",VLOOKUP($C$11,'Fonti e cc'!$A$2:$I$5,2)),"")</f>
        <v/>
      </c>
      <c r="D40" s="2091"/>
      <c r="E40" s="2092"/>
    </row>
    <row r="41" spans="1:8" ht="15" thickBot="1" x14ac:dyDescent="0.4">
      <c r="B41" s="921" t="s">
        <v>2097</v>
      </c>
      <c r="C41" s="922" t="str">
        <f ca="1">+IFERROR(+IF($C$18=0,"",VLOOKUP($C$11,'Fonti e cc'!$A$2:$I$5,3)),"")</f>
        <v/>
      </c>
      <c r="D41" s="923" t="s">
        <v>2185</v>
      </c>
      <c r="E41" s="924" t="str">
        <f ca="1">+IFERROR(+IF($C$18=0,"","RM"),"")</f>
        <v/>
      </c>
    </row>
    <row r="42" spans="1:8" ht="15" thickBot="1" x14ac:dyDescent="0.4"/>
    <row r="43" spans="1:8" ht="15" thickBot="1" x14ac:dyDescent="0.4">
      <c r="B43" s="913"/>
      <c r="C43" s="913"/>
      <c r="D43" s="914" t="s">
        <v>2088</v>
      </c>
      <c r="E43" s="915" t="s">
        <v>2089</v>
      </c>
      <c r="F43" s="915" t="s">
        <v>2090</v>
      </c>
      <c r="G43" s="915" t="s">
        <v>2091</v>
      </c>
      <c r="H43" s="916" t="s">
        <v>2092</v>
      </c>
    </row>
    <row r="44" spans="1:8" ht="15" thickBot="1" x14ac:dyDescent="0.4">
      <c r="B44" s="914" t="s">
        <v>2093</v>
      </c>
      <c r="C44" s="917" t="s">
        <v>2094</v>
      </c>
      <c r="D44" s="918" t="str">
        <f ca="1">+IFERROR(+IF($C$18=0,"",VLOOKUP($C$11,'Fonti e cc'!$A$2:$I$5,5)),"")</f>
        <v/>
      </c>
      <c r="E44" s="918" t="str">
        <f ca="1">+IFERROR(+IF($C$18=0,"",VLOOKUP($C$11,'Fonti e cc'!$A$2:$I$5,6)),"")</f>
        <v/>
      </c>
      <c r="F44" s="918" t="str">
        <f ca="1">+IFERROR(+IF($C$18=0,"",VLOOKUP($C$11,'Fonti e cc'!$A$2:$I$5,7)),"")</f>
        <v/>
      </c>
      <c r="G44" s="918" t="str">
        <f ca="1">+IFERROR(+IF($C$18=0,"",VLOOKUP($C$11,'Fonti e cc'!$A$2:$I$5,8)),"")</f>
        <v/>
      </c>
      <c r="H44" s="919" t="str">
        <f ca="1">+IFERROR(+IF($C$18=0,"",VLOOKUP($C$11,'Fonti e cc'!$A$2:$I$5,9)),"")</f>
        <v/>
      </c>
    </row>
    <row r="45" spans="1:8" x14ac:dyDescent="0.35">
      <c r="B45" s="1164"/>
      <c r="C45" s="1184"/>
      <c r="D45" s="1164"/>
      <c r="E45" s="1164"/>
      <c r="F45" s="1164"/>
      <c r="G45" s="1164"/>
      <c r="H45" s="1165"/>
    </row>
    <row r="46" spans="1:8" ht="15" thickBot="1" x14ac:dyDescent="0.4">
      <c r="B46" s="612" t="str">
        <f ca="1">+IFERROR(+CONCATENATE(TEXT($C$20,"€ #.##0,00")," ", "da addebitare sul conto corrente della Fonte Finanziaria:"),"")</f>
        <v>€ 0,00 da addebitare sul conto corrente della Fonte Finanziaria:</v>
      </c>
    </row>
    <row r="47" spans="1:8" ht="15" customHeight="1" x14ac:dyDescent="0.35">
      <c r="B47" s="920" t="s">
        <v>2096</v>
      </c>
      <c r="C47" s="2091" t="str">
        <f ca="1">+IFERROR(+IF($C$20=0,"",'Fonti e cc'!$B$6),"")</f>
        <v/>
      </c>
      <c r="D47" s="2091"/>
      <c r="E47" s="2092"/>
    </row>
    <row r="48" spans="1:8" ht="15" thickBot="1" x14ac:dyDescent="0.4">
      <c r="B48" s="921" t="s">
        <v>2097</v>
      </c>
      <c r="C48" s="922" t="str">
        <f ca="1">+IFERROR(+IF($C$20=0,"",'Fonti e cc'!$C$6),"")</f>
        <v/>
      </c>
      <c r="D48" s="923" t="s">
        <v>2185</v>
      </c>
      <c r="E48" s="924" t="str">
        <f ca="1">+IFERROR(+IF($C$20=0,"","MI"),"")</f>
        <v/>
      </c>
    </row>
    <row r="49" spans="2:8" ht="15" thickBot="1" x14ac:dyDescent="0.4"/>
    <row r="50" spans="2:8" ht="15" thickBot="1" x14ac:dyDescent="0.4">
      <c r="B50" s="913"/>
      <c r="C50" s="913"/>
      <c r="D50" s="914" t="s">
        <v>2088</v>
      </c>
      <c r="E50" s="915" t="s">
        <v>2089</v>
      </c>
      <c r="F50" s="915" t="s">
        <v>2090</v>
      </c>
      <c r="G50" s="915" t="s">
        <v>2091</v>
      </c>
      <c r="H50" s="916" t="s">
        <v>2092</v>
      </c>
    </row>
    <row r="51" spans="2:8" ht="15" thickBot="1" x14ac:dyDescent="0.4">
      <c r="B51" s="914" t="s">
        <v>2093</v>
      </c>
      <c r="C51" s="917" t="s">
        <v>2094</v>
      </c>
      <c r="D51" s="918" t="str">
        <f ca="1">+IFERROR(+IF($C$20=0,"",'Fonti e cc'!$E$6),"")</f>
        <v/>
      </c>
      <c r="E51" s="918" t="str">
        <f ca="1">+IFERROR(+IF($C$20=0,"",'Fonti e cc'!$F$6),"")</f>
        <v/>
      </c>
      <c r="F51" s="918" t="str">
        <f ca="1">+IFERROR(+IF($C$20=0,"",'Fonti e cc'!$G$6),"")</f>
        <v/>
      </c>
      <c r="G51" s="918" t="str">
        <f ca="1">+IFERROR(+IF($C$20=0,"",'Fonti e cc'!$H$6),"")</f>
        <v/>
      </c>
      <c r="H51" s="919" t="str">
        <f ca="1">+IFERROR(+IF($C$20=0,"",'Fonti e cc'!$I$6),"")</f>
        <v/>
      </c>
    </row>
    <row r="52" spans="2:8" ht="15" thickBot="1" x14ac:dyDescent="0.4"/>
    <row r="53" spans="2:8" ht="15" thickBot="1" x14ac:dyDescent="0.4">
      <c r="B53" s="2093" t="s">
        <v>2169</v>
      </c>
      <c r="C53" s="2094"/>
      <c r="D53" s="2094"/>
      <c r="E53" s="2094"/>
      <c r="F53" s="925" t="str">
        <f>+E2</f>
        <v>No</v>
      </c>
    </row>
    <row r="55" spans="2:8" x14ac:dyDescent="0.35">
      <c r="F55" s="2095" t="s">
        <v>2186</v>
      </c>
      <c r="G55" s="2095"/>
      <c r="H55" s="2095"/>
    </row>
    <row r="57" spans="2:8" x14ac:dyDescent="0.35">
      <c r="F57" s="2095" t="s">
        <v>2187</v>
      </c>
      <c r="G57" s="2095"/>
      <c r="H57" s="2095"/>
    </row>
    <row r="58" spans="2:8" x14ac:dyDescent="0.35">
      <c r="G58" s="902" t="s">
        <v>2186</v>
      </c>
    </row>
  </sheetData>
  <mergeCells count="29">
    <mergeCell ref="C12:H12"/>
    <mergeCell ref="B2:D2"/>
    <mergeCell ref="C7:H7"/>
    <mergeCell ref="C8:H8"/>
    <mergeCell ref="C9:H9"/>
    <mergeCell ref="C10:H10"/>
    <mergeCell ref="C11:H11"/>
    <mergeCell ref="C27:H27"/>
    <mergeCell ref="B14:H15"/>
    <mergeCell ref="C16:H16"/>
    <mergeCell ref="B17:H17"/>
    <mergeCell ref="C18:H18"/>
    <mergeCell ref="B19:H19"/>
    <mergeCell ref="C20:H20"/>
    <mergeCell ref="B21:H21"/>
    <mergeCell ref="C23:H23"/>
    <mergeCell ref="C24:H24"/>
    <mergeCell ref="C25:H25"/>
    <mergeCell ref="C26:H26"/>
    <mergeCell ref="B53:E53"/>
    <mergeCell ref="F55:H55"/>
    <mergeCell ref="F57:H57"/>
    <mergeCell ref="C28:H28"/>
    <mergeCell ref="C29:H29"/>
    <mergeCell ref="C32:H32"/>
    <mergeCell ref="C33:H33"/>
    <mergeCell ref="C34:H34"/>
    <mergeCell ref="C40:E40"/>
    <mergeCell ref="C47:E47"/>
  </mergeCells>
  <dataValidations count="8">
    <dataValidation type="textLength" errorStyle="information" operator="equal" allowBlank="1" showInputMessage="1" showErrorMessage="1" errorTitle="Numero dati sbagliato" error="Devono essere 5 cifre" sqref="C26:H26" xr:uid="{FC0F3397-907B-4D6B-9960-8FE1699BD103}">
      <formula1>5</formula1>
    </dataValidation>
    <dataValidation type="textLength" errorStyle="information" operator="equal" allowBlank="1" showInputMessage="1" showErrorMessage="1" errorTitle="Numero dati sbagliato" error="Devono essere 11 cifre" sqref="C28:H29" xr:uid="{6C6BA9DF-EFB7-4909-B13A-EF459A3BE413}">
      <formula1>11</formula1>
    </dataValidation>
    <dataValidation type="textLength" errorStyle="information" operator="equal" allowBlank="1" showInputMessage="1" showErrorMessage="1" errorTitle="Numero dati Sbagliati" error="Devono essere 12 cifre_x000a_" sqref="H37 H44:H45 H51" xr:uid="{555724F0-483E-4231-AAFB-CE94941C36E7}">
      <formula1>12</formula1>
    </dataValidation>
    <dataValidation type="textLength" errorStyle="information" operator="equal" allowBlank="1" showInputMessage="1" showErrorMessage="1" errorTitle="Numero dati Sbagliati" error="Devono essere 2 cifre" sqref="D37 D44:D45 D51" xr:uid="{9BF56660-7F97-47E6-ABCB-EC0B1168FD2B}">
      <formula1>2</formula1>
    </dataValidation>
    <dataValidation type="textLength" errorStyle="information" operator="equal" allowBlank="1" showInputMessage="1" showErrorMessage="1" errorTitle="Numero dati Sbagliati" error="Deve essere 1 cifra" sqref="E37 E44:E45 E51" xr:uid="{58E1CDE0-CFB3-453B-8671-A3F170E2B466}">
      <formula1>1</formula1>
    </dataValidation>
    <dataValidation type="textLength" errorStyle="information" operator="equal" allowBlank="1" showInputMessage="1" showErrorMessage="1" errorTitle="Numero dati Sbagliati" error="Devono essere 5 cifre" sqref="F37:G37 F44:G45 F51:G51" xr:uid="{42885236-B9F7-4BB5-A596-5D933D738D93}">
      <formula1>5</formula1>
    </dataValidation>
    <dataValidation allowBlank="1" showInputMessage="1" showErrorMessage="1" promptTitle="Dato utile" prompt="Via e civico" sqref="C24:H24" xr:uid="{8906D98D-156B-4176-B0EE-BDEF8EF97B61}"/>
    <dataValidation type="list" allowBlank="1" showInputMessage="1" showErrorMessage="1" sqref="E2" xr:uid="{42868320-86FA-462F-B26B-0CF20167812C}">
      <formula1>"No,Si,"</formula1>
    </dataValidation>
  </dataValidations>
  <pageMargins left="0.7" right="0.7" top="0.75" bottom="0.75" header="0.3" footer="0.3"/>
  <pageSetup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8481" r:id="rId4" name="Button 1">
              <controlPr defaultSize="0" print="0" autoFill="0" autoPict="0" macro="[0]!Mandato_SAL_Unico">
                <anchor moveWithCells="1" sizeWithCells="1">
                  <from>
                    <xdr:col>8</xdr:col>
                    <xdr:colOff>590550</xdr:colOff>
                    <xdr:row>2</xdr:row>
                    <xdr:rowOff>0</xdr:rowOff>
                  </from>
                  <to>
                    <xdr:col>11</xdr:col>
                    <xdr:colOff>323850</xdr:colOff>
                    <xdr:row>5</xdr:row>
                    <xdr:rowOff>165100</xdr:rowOff>
                  </to>
                </anchor>
              </controlPr>
            </control>
          </mc:Choice>
        </mc:AlternateContent>
      </controls>
    </mc:Choice>
  </mc:AlternateConten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E37BF-3776-4B54-A872-AD28E92AD701}">
  <sheetPr codeName="Foglio36"/>
  <dimension ref="A1:W50"/>
  <sheetViews>
    <sheetView zoomScale="80" zoomScaleNormal="80" workbookViewId="0">
      <selection activeCell="E14" sqref="E14"/>
    </sheetView>
  </sheetViews>
  <sheetFormatPr defaultRowHeight="14.5" x14ac:dyDescent="0.35"/>
  <cols>
    <col min="1" max="1" width="3.453125" customWidth="1"/>
    <col min="2" max="2" width="27" customWidth="1"/>
    <col min="3" max="3" width="14.7265625" customWidth="1"/>
    <col min="4" max="4" width="14.7265625" bestFit="1" customWidth="1"/>
    <col min="5" max="5" width="15.453125" customWidth="1"/>
    <col min="6" max="6" width="14.7265625" customWidth="1"/>
    <col min="7" max="7" width="15.81640625" customWidth="1"/>
    <col min="8" max="8" width="18.7265625" customWidth="1"/>
    <col min="9" max="9" width="23.453125" customWidth="1"/>
    <col min="10" max="10" width="30.7265625" customWidth="1"/>
    <col min="11" max="11" width="40.453125" customWidth="1"/>
    <col min="12" max="12" width="11.54296875" hidden="1" customWidth="1"/>
    <col min="13" max="13" width="11.453125" hidden="1" customWidth="1"/>
    <col min="14" max="14" width="11.81640625" hidden="1" customWidth="1"/>
    <col min="15" max="15" width="12.453125" hidden="1" customWidth="1"/>
    <col min="16" max="16" width="9.7265625" hidden="1" customWidth="1"/>
    <col min="17" max="18" width="0" hidden="1" customWidth="1"/>
    <col min="19" max="19" width="9.7265625" hidden="1" customWidth="1"/>
    <col min="20" max="20" width="13" hidden="1" customWidth="1"/>
    <col min="21" max="21" width="12.81640625" style="989" hidden="1" customWidth="1"/>
    <col min="22" max="24" width="0" hidden="1" customWidth="1"/>
  </cols>
  <sheetData>
    <row r="1" spans="1:23" s="989" customFormat="1" x14ac:dyDescent="0.35">
      <c r="A1" s="988"/>
      <c r="B1" s="988"/>
      <c r="C1" s="988"/>
      <c r="D1" s="988"/>
      <c r="E1" s="988"/>
      <c r="F1" s="988"/>
      <c r="G1" s="988"/>
      <c r="H1" s="988"/>
      <c r="I1" s="988"/>
      <c r="J1" s="988"/>
      <c r="K1" s="988"/>
    </row>
    <row r="2" spans="1:23" s="989" customFormat="1" x14ac:dyDescent="0.35">
      <c r="B2" s="990" t="s">
        <v>2244</v>
      </c>
    </row>
    <row r="3" spans="1:23" s="989" customFormat="1" x14ac:dyDescent="0.35"/>
    <row r="4" spans="1:23" s="989" customFormat="1" x14ac:dyDescent="0.35"/>
    <row r="5" spans="1:23" s="989" customFormat="1" x14ac:dyDescent="0.35">
      <c r="C5" s="2202" t="s">
        <v>2245</v>
      </c>
      <c r="D5" s="2253"/>
      <c r="E5" s="2205" t="s">
        <v>2032</v>
      </c>
      <c r="F5" s="2205"/>
      <c r="G5" s="2205"/>
      <c r="H5" s="2205"/>
      <c r="I5" s="2206"/>
      <c r="J5" s="1018"/>
    </row>
    <row r="6" spans="1:23" s="989" customFormat="1" ht="23.5" thickBot="1" x14ac:dyDescent="0.4">
      <c r="B6" s="1088" t="s">
        <v>2067</v>
      </c>
      <c r="C6" s="999" t="s">
        <v>2068</v>
      </c>
      <c r="D6" s="1081" t="s">
        <v>2069</v>
      </c>
      <c r="E6" s="1074" t="s">
        <v>2247</v>
      </c>
      <c r="F6" s="1000" t="s">
        <v>2226</v>
      </c>
      <c r="G6" s="1025" t="s">
        <v>2069</v>
      </c>
      <c r="H6" s="1000" t="s">
        <v>2248</v>
      </c>
      <c r="I6" s="1081" t="s">
        <v>2249</v>
      </c>
      <c r="J6" s="1081" t="s">
        <v>2318</v>
      </c>
    </row>
    <row r="7" spans="1:23" s="989" customFormat="1" ht="38.25" customHeight="1" x14ac:dyDescent="0.35">
      <c r="B7" s="1089" t="str">
        <f>+IF(Anagrafica!$G$2="Capo II","Opere murarie e assimilate","Acquisto immobile sede dell'attività")</f>
        <v>Acquisto immobile sede dell'attività</v>
      </c>
      <c r="C7" s="1094">
        <f ca="1">+Anagrafica!I30</f>
        <v>0</v>
      </c>
      <c r="D7" s="1079">
        <f ca="1">+Anagrafica!J30</f>
        <v>0</v>
      </c>
      <c r="E7" s="1075" t="e">
        <f ca="1">+'1 SAL'!E110+'2 SAL'!E126+'3 SAL'!E129+'4 SAL'!E124+'SAL SALDO'!E126</f>
        <v>#REF!</v>
      </c>
      <c r="F7" s="1217" t="e">
        <f ca="1">+'1 SAL'!F110+'2 SAL'!F126+'3 SAL'!F129+'4 SAL'!F124+'SAL SALDO'!F126</f>
        <v>#REF!</v>
      </c>
      <c r="G7" s="1217">
        <v>0</v>
      </c>
      <c r="H7" s="1064" t="str">
        <f ca="1">IFERROR(+G7*Anagrafica!$F$38,"")</f>
        <v/>
      </c>
      <c r="I7" s="1086">
        <v>0</v>
      </c>
      <c r="J7" s="1082" t="e">
        <f ca="1">+IF(C7-F7&lt;0,0,C7-F7)</f>
        <v>#REF!</v>
      </c>
      <c r="L7" s="1222">
        <f ca="1">IFERROR(+SUMIF('1 SAL VNQ TAB'!$R:$R,$B7,'1 SAL VNQ TAB'!$U:$U),0)</f>
        <v>0</v>
      </c>
      <c r="M7" s="1222">
        <f ca="1">IFERROR(+SUMIF('2 SAL VNQ'!$AI$4:$AI$9,$B7,'2 SAL VNQ'!$AJ$4:$AJ$9),0)</f>
        <v>0</v>
      </c>
      <c r="N7" s="1222">
        <f ca="1">+IFERROR(SUMIF('2 SAL VNQ TAB'!$R:$R,$B7,'2 SAL VNQ TAB'!$U:$U),0)</f>
        <v>0</v>
      </c>
      <c r="O7" s="1222">
        <v>0</v>
      </c>
      <c r="P7" s="1222">
        <f ca="1">IFERROR(+SUMIF('3 SAL VNQ TAB'!$R:$R,$B7,'3 SAL VNQ TAB'!$U:$U),0)</f>
        <v>0</v>
      </c>
      <c r="Q7" s="1222">
        <f ca="1">IFERROR(+SUMIF('4 SAL VNQ'!$BO$4:$BO$9,$B7,'4 SAL VNQ'!$BP$4:$BP$9),0)</f>
        <v>0</v>
      </c>
      <c r="R7" s="1222">
        <f ca="1">+IFERROR(+SUMIF('4 SAL VNQ TAB'!$R:$R,$B7,'4 SAL VNQ TAB'!$U:$U),0)</f>
        <v>0</v>
      </c>
      <c r="S7" s="1222" cm="1">
        <f t="array" aca="1" ref="S7" ca="1">+IFERROR(+SUMIF(Categoriesalsaldo,$B7,Imponibilesalsaldo),0)</f>
        <v>0</v>
      </c>
      <c r="T7" s="1222">
        <f ca="1">+IFERROR(+SUMIF('SALDO SAL VNQ'!$CE$4:$CE$9,$B7,'SALDO SAL VNQ'!CF4:CF9),0)</f>
        <v>0</v>
      </c>
      <c r="U7" s="1018">
        <f ca="1">+SUM(L7:T7)</f>
        <v>0</v>
      </c>
      <c r="W7" s="989">
        <v>24780</v>
      </c>
    </row>
    <row r="8" spans="1:23" s="989" customFormat="1" ht="41.25" customHeight="1" x14ac:dyDescent="0.35">
      <c r="B8" s="1090" t="str">
        <f>+IF(Anagrafica!$G$2="Capo II","Macchinari, impianti ed attrezzature","Opere murarie e assimilate")</f>
        <v>Opere murarie e assimilate</v>
      </c>
      <c r="C8" s="1095">
        <f ca="1">+Anagrafica!I31</f>
        <v>0</v>
      </c>
      <c r="D8" s="1065">
        <f>+Anagrafica!J31</f>
        <v>0</v>
      </c>
      <c r="E8" s="1075" t="e">
        <f ca="1">+'1 SAL'!E111+'2 SAL'!E127+'3 SAL'!E130+'4 SAL'!E125+'SAL SALDO'!E127</f>
        <v>#REF!</v>
      </c>
      <c r="F8" s="1217" t="e">
        <f ca="1">+'1 SAL'!F111+'2 SAL'!F127+'3 SAL'!F130+'4 SAL'!F125+'SAL SALDO'!F127</f>
        <v>#REF!</v>
      </c>
      <c r="G8" s="1217">
        <v>0</v>
      </c>
      <c r="H8" s="1066" t="e">
        <f ca="1">+IF(Anagrafica!$G$2="Capo II",(G8*Anagrafica!$F$38-I8),G8*Anagrafica!$F$38)</f>
        <v>#DIV/0!</v>
      </c>
      <c r="I8" s="1065">
        <f>+IFERROR((G8/'Calcolo contributo CAPO II'!$C$23)*Anagrafica!$C$37,0)</f>
        <v>0</v>
      </c>
      <c r="J8" s="1082" t="e">
        <f t="shared" ref="J8:J14" ca="1" si="0">+IF(C8-F8&lt;0,0,C8-F8)</f>
        <v>#REF!</v>
      </c>
      <c r="K8" s="1018"/>
      <c r="L8" s="1222">
        <f ca="1">IFERROR(+SUMIF('1 SAL VNQ TAB'!$R:$R,$B8,'1 SAL VNQ TAB'!$U:$U),0)</f>
        <v>0</v>
      </c>
      <c r="M8" s="1222">
        <f ca="1">IFERROR(+SUMIF('2 SAL VNQ'!$AI$4:$AI$9,$B8,'2 SAL VNQ'!$AJ$4:$AJ$9),0)</f>
        <v>0</v>
      </c>
      <c r="N8" s="1222">
        <f ca="1">+IFERROR(SUMIF('2 SAL VNQ TAB'!$R:$R,$B8,'2 SAL VNQ TAB'!$U:$U),0)</f>
        <v>0</v>
      </c>
      <c r="O8" s="1222">
        <v>0</v>
      </c>
      <c r="P8" s="1222">
        <f ca="1">IFERROR(+SUMIF('3 SAL VNQ TAB'!$R:$R,$B8,'3 SAL VNQ TAB'!$U:$U),0)</f>
        <v>0</v>
      </c>
      <c r="Q8" s="1222">
        <f ca="1">IFERROR(+SUMIF('4 SAL VNQ'!$BO$4:$BO$9,$B8,'4 SAL VNQ'!$BP$4:$BP$9),0)</f>
        <v>0</v>
      </c>
      <c r="R8" s="1222">
        <f ca="1">+IFERROR(+SUMIF('4 SAL VNQ TAB'!$R:$R,$B8,'4 SAL VNQ TAB'!$U:$U),0)</f>
        <v>0</v>
      </c>
      <c r="S8" s="1222" cm="1">
        <f t="array" aca="1" ref="S8" ca="1">+IFERROR(+SUMIF(Categoriesalsaldo,$B8,Imponibilesalsaldo),0)</f>
        <v>0</v>
      </c>
      <c r="T8" s="1222">
        <f ca="1">+IFERROR(+SUMIF('SALDO SAL VNQ'!$CE$4:$CE$9,$B8,'SALDO SAL VNQ'!CF5:CF10),0)</f>
        <v>0</v>
      </c>
      <c r="U8" s="1018">
        <f t="shared" ref="U8:U12" ca="1" si="1">+SUM(L8:T8)</f>
        <v>0</v>
      </c>
      <c r="W8" s="989">
        <v>0</v>
      </c>
    </row>
    <row r="9" spans="1:23" s="989" customFormat="1" ht="70.5" customHeight="1" x14ac:dyDescent="0.35">
      <c r="B9" s="1091" t="str">
        <f>+IF(Anagrafica!$G$2="Capo II","Programmi informatici e servizi per le tecnologie dell’informazione e della comunicazione","Macchinari, impianti ed attrezzature")</f>
        <v>Macchinari, impianti ed attrezzature</v>
      </c>
      <c r="C9" s="1095">
        <f ca="1">+Anagrafica!I32</f>
        <v>10000</v>
      </c>
      <c r="D9" s="1065">
        <f>+Anagrafica!J32</f>
        <v>0</v>
      </c>
      <c r="E9" s="1075" t="e">
        <f ca="1">+'1 SAL'!E112+'2 SAL'!E128+'3 SAL'!E131+'4 SAL'!E126+'SAL SALDO'!E128</f>
        <v>#REF!</v>
      </c>
      <c r="F9" s="1217" t="e">
        <f ca="1">+'1 SAL'!F112+'2 SAL'!F128+'3 SAL'!F131+'4 SAL'!F126+'SAL SALDO'!F128</f>
        <v>#REF!</v>
      </c>
      <c r="G9" s="1217">
        <v>0</v>
      </c>
      <c r="H9" s="1066" t="e">
        <f ca="1">+(G9*Anagrafica!$F$38-I9)</f>
        <v>#DIV/0!</v>
      </c>
      <c r="I9" s="1065" t="e">
        <f>IF(Anagrafica!$G$2="Capo II",(G9/'Calcolo contributo CAPO II'!$C$23)*Anagrafica!$C$37,G9/(GBER!$C$11+GBER!$C$13)*Anagrafica!$C$37)</f>
        <v>#DIV/0!</v>
      </c>
      <c r="J9" s="1082" t="e">
        <f t="shared" ca="1" si="0"/>
        <v>#REF!</v>
      </c>
      <c r="K9" s="1018"/>
      <c r="L9" s="1222">
        <f ca="1">IFERROR(+SUMIF('1 SAL VNQ TAB'!$R:$R,$B9,'1 SAL VNQ TAB'!$U:$U),0)</f>
        <v>0</v>
      </c>
      <c r="M9" s="1222">
        <f ca="1">IFERROR(+SUMIF('2 SAL VNQ'!$AI$4:$AI$9,$B9,'2 SAL VNQ'!$AJ$4:$AJ$9),0)</f>
        <v>0</v>
      </c>
      <c r="N9" s="1222">
        <f ca="1">+IFERROR(SUMIF('2 SAL VNQ TAB'!$R:$R,$B9,'2 SAL VNQ TAB'!$U:$U),0)</f>
        <v>0</v>
      </c>
      <c r="O9" s="1222">
        <v>0</v>
      </c>
      <c r="P9" s="1222">
        <f ca="1">IFERROR(+SUMIF('3 SAL VNQ TAB'!$R:$R,$B9,'3 SAL VNQ TAB'!$U:$U),0)</f>
        <v>0</v>
      </c>
      <c r="Q9" s="1222">
        <f ca="1">IFERROR(+SUMIF('4 SAL VNQ'!$BO$4:$BO$9,$B9,'4 SAL VNQ'!$BP$4:$BP$9),0)</f>
        <v>0</v>
      </c>
      <c r="R9" s="1222">
        <f ca="1">+IFERROR(+SUMIF('4 SAL VNQ TAB'!$R:$R,$B9,'4 SAL VNQ TAB'!$U:$U),0)</f>
        <v>0</v>
      </c>
      <c r="S9" s="1222" cm="1">
        <f t="array" aca="1" ref="S9" ca="1">+IFERROR(+SUMIF(Categoriesalsaldo,$B9,Imponibilesalsaldo),0)</f>
        <v>0</v>
      </c>
      <c r="T9" s="1222">
        <f ca="1">+IFERROR(+SUMIF('SALDO SAL VNQ'!$CE$4:$CE$9,$B9,'SALDO SAL VNQ'!CF6:CF11),0)</f>
        <v>0</v>
      </c>
      <c r="U9" s="1018">
        <f t="shared" ca="1" si="1"/>
        <v>0</v>
      </c>
      <c r="W9" s="989">
        <v>5000</v>
      </c>
    </row>
    <row r="10" spans="1:23" s="989" customFormat="1" ht="45.75" customHeight="1" x14ac:dyDescent="0.35">
      <c r="B10" s="1091" t="str">
        <f>+IF(Anagrafica!$G$2="Capo II","Acquisto di brevetti o acquisizione di relative licenze d’uso","Programmi informatici, brevetti, licenze e marchi")</f>
        <v>Programmi informatici, brevetti, licenze e marchi</v>
      </c>
      <c r="C10" s="1095">
        <f ca="1">+Anagrafica!I33</f>
        <v>0</v>
      </c>
      <c r="D10" s="1065">
        <f ca="1">+Anagrafica!J33</f>
        <v>0</v>
      </c>
      <c r="E10" s="1075" t="e">
        <f ca="1">+'1 SAL'!E113+'2 SAL'!E129+'3 SAL'!E132+'4 SAL'!E127+'SAL SALDO'!E129</f>
        <v>#REF!</v>
      </c>
      <c r="F10" s="1217" t="e">
        <f ca="1">+'1 SAL'!F113+'2 SAL'!F129+'3 SAL'!F132+'4 SAL'!F127+'SAL SALDO'!F129</f>
        <v>#REF!</v>
      </c>
      <c r="G10" s="1217">
        <v>0</v>
      </c>
      <c r="H10" s="1066" t="e">
        <f ca="1">+G10*Anagrafica!$F$38-I10</f>
        <v>#DIV/0!</v>
      </c>
      <c r="I10" s="1065" t="e">
        <f>IF(Anagrafica!$G$2="Capo II",(G10/'Calcolo contributo CAPO II'!$C$23)*Anagrafica!$C$37,G10/(GBER!$C$11+GBER!$C$13)*Anagrafica!$C$37)</f>
        <v>#DIV/0!</v>
      </c>
      <c r="J10" s="1082" t="e">
        <f t="shared" ca="1" si="0"/>
        <v>#REF!</v>
      </c>
      <c r="L10" s="1222">
        <f ca="1">IFERROR(+SUMIF('1 SAL VNQ TAB'!$R:$R,$B10,'1 SAL VNQ TAB'!$U:$U),0)</f>
        <v>0</v>
      </c>
      <c r="M10" s="1222">
        <f ca="1">IFERROR(+SUMIF('2 SAL VNQ'!$AI$4:$AI$9,$B10,'2 SAL VNQ'!$AJ$4:$AJ$9),0)</f>
        <v>0</v>
      </c>
      <c r="N10" s="1222">
        <f ca="1">+IFERROR(SUMIF('2 SAL VNQ TAB'!$R:$R,$B10,'2 SAL VNQ TAB'!$U:$U),0)</f>
        <v>0</v>
      </c>
      <c r="O10" s="1222">
        <v>0</v>
      </c>
      <c r="P10" s="1222">
        <f ca="1">IFERROR(+SUMIF('3 SAL VNQ TAB'!$R:$R,$B10,'3 SAL VNQ TAB'!$U:$U),0)</f>
        <v>0</v>
      </c>
      <c r="Q10" s="1222">
        <f ca="1">IFERROR(+SUMIF('4 SAL VNQ'!$BO$4:$BO$9,$B10,'4 SAL VNQ'!$BP$4:$BP$9),0)</f>
        <v>0</v>
      </c>
      <c r="R10" s="1222">
        <f ca="1">+IFERROR(+SUMIF('4 SAL VNQ TAB'!$R:$R,$B10,'4 SAL VNQ TAB'!$U:$U),0)</f>
        <v>0</v>
      </c>
      <c r="S10" s="1222" cm="1">
        <f t="array" aca="1" ref="S10" ca="1">+IFERROR(+SUMIF(Categoriesalsaldo,$B10,Imponibilesalsaldo),0)</f>
        <v>0</v>
      </c>
      <c r="T10" s="1222">
        <f ca="1">+IFERROR(+SUMIF('SALDO SAL VNQ'!$CE$4:$CE$9,$B10,'SALDO SAL VNQ'!CF7:CF12),0)</f>
        <v>0</v>
      </c>
      <c r="U10" s="1018">
        <f t="shared" ca="1" si="1"/>
        <v>0</v>
      </c>
      <c r="W10" s="989">
        <v>0</v>
      </c>
    </row>
    <row r="11" spans="1:23" s="989" customFormat="1" ht="39" customHeight="1" x14ac:dyDescent="0.35">
      <c r="B11" s="1091" t="str">
        <f>+IF(Anagrafica!$G$2="Capo II","Consulenze specialistiche","TOTALE PROGRAMMA DI SPESA")</f>
        <v>TOTALE PROGRAMMA DI SPESA</v>
      </c>
      <c r="C11" s="1095">
        <f ca="1">+Anagrafica!I34</f>
        <v>10000</v>
      </c>
      <c r="D11" s="1065">
        <f ca="1">+Anagrafica!J34</f>
        <v>0</v>
      </c>
      <c r="E11" s="1075" t="e">
        <f ca="1">IF(Anagrafica!$G$2="Capo II",+'1 SAL'!E114+'2 SAL'!E130+'3 SAL'!E133+'4 SAL'!E128+'SAL SALDO'!E130,SUM(E7:E10))</f>
        <v>#REF!</v>
      </c>
      <c r="F11" s="1217" t="e">
        <f ca="1">IF(Anagrafica!$G$2="Capo II",+'1 SAL'!F114+'2 SAL'!F130+'3 SAL'!F133+'4 SAL'!F128+'SAL SALDO'!F130,SUM(F7:F10))</f>
        <v>#REF!</v>
      </c>
      <c r="G11" s="1217">
        <v>0</v>
      </c>
      <c r="H11" s="1066">
        <f ca="1">IFERROR(IF(Anagrafica!$G$2="Capo II",+G11*Anagrafica!$F$38,SUM(H7:H10)),0)</f>
        <v>0</v>
      </c>
      <c r="I11" s="1065">
        <f>IFERROR(IF(Anagrafica!$G$2="Capo II",0,SUM(I7:I10)),0)</f>
        <v>0</v>
      </c>
      <c r="J11" s="1082" t="e">
        <f ca="1">+IF(C11-F11&lt;0,0,C11-F11)</f>
        <v>#REF!</v>
      </c>
      <c r="L11" s="1222">
        <f ca="1">IFERROR(+SUMIF('1 SAL VNQ TAB'!$R:$R,$B11,'1 SAL VNQ TAB'!$U:$U),0)</f>
        <v>0</v>
      </c>
      <c r="M11" s="1222">
        <f ca="1">IFERROR(+SUMIF('2 SAL VNQ'!$AI$4:$AI$9,$B11,'2 SAL VNQ'!$AJ$4:$AJ$9),0)</f>
        <v>0</v>
      </c>
      <c r="N11" s="1222">
        <f ca="1">+IFERROR(SUMIF('2 SAL VNQ TAB'!$R:$R,$B11,'2 SAL VNQ TAB'!$U:$U),0)</f>
        <v>0</v>
      </c>
      <c r="O11" s="1222">
        <v>0</v>
      </c>
      <c r="P11" s="1222">
        <f ca="1">IFERROR(+SUMIF('3 SAL VNQ TAB'!$R:$R,$B11,'3 SAL VNQ TAB'!$U:$U),0)</f>
        <v>0</v>
      </c>
      <c r="Q11" s="1222">
        <f ca="1">IFERROR(+SUMIF('4 SAL VNQ'!$BO$4:$BO$9,$B11,'4 SAL VNQ'!$BP$4:$BP$9),0)</f>
        <v>0</v>
      </c>
      <c r="R11" s="1222">
        <f ca="1">+IFERROR(+SUMIF('4 SAL VNQ TAB'!$R:$R,$B11,'4 SAL VNQ TAB'!$U:$U),0)</f>
        <v>0</v>
      </c>
      <c r="S11" s="1222" cm="1">
        <f t="array" aca="1" ref="S11" ca="1">+IFERROR(+SUMIF(Categoriesalsaldo,$B11,Imponibilesalsaldo),0)</f>
        <v>0</v>
      </c>
      <c r="T11" s="1222">
        <f ca="1">+IFERROR(+SUMIF('SALDO SAL VNQ'!$CE$4:$CE$9,$B11,'SALDO SAL VNQ'!CF8:CF13),0)</f>
        <v>0</v>
      </c>
      <c r="U11" s="1018">
        <f t="shared" ca="1" si="1"/>
        <v>0</v>
      </c>
      <c r="W11" s="989">
        <v>500</v>
      </c>
    </row>
    <row r="12" spans="1:23" s="989" customFormat="1" ht="44.25" customHeight="1" thickBot="1" x14ac:dyDescent="0.4">
      <c r="B12" s="1092" t="str">
        <f>+IF(Anagrafica!$G$2="Capo II","Oneri notarili connessi alla stipula del contratto di finanziamento ed oneri connessi alla costituzione della società","")</f>
        <v/>
      </c>
      <c r="C12" s="1096" t="str">
        <f>+Anagrafica!I35</f>
        <v/>
      </c>
      <c r="D12" s="1072" t="str">
        <f>+Anagrafica!J35</f>
        <v/>
      </c>
      <c r="E12" s="1075" t="e">
        <f ca="1">+'1 SAL'!E115+'2 SAL'!E131+'3 SAL'!E134+'4 SAL'!E129+'SAL SALDO'!E131</f>
        <v>#REF!</v>
      </c>
      <c r="F12" s="1217" t="e">
        <f ca="1">+'1 SAL'!F115+'2 SAL'!F131+'3 SAL'!F134+'4 SAL'!F129+'SAL SALDO'!F131</f>
        <v>#REF!</v>
      </c>
      <c r="G12" s="1217">
        <v>0</v>
      </c>
      <c r="H12" s="1064" t="str">
        <f ca="1">IFERROR(+G12*Anagrafica!$F$38,"")</f>
        <v/>
      </c>
      <c r="I12" s="1072">
        <v>0</v>
      </c>
      <c r="J12" s="1082" t="e">
        <f t="shared" ca="1" si="0"/>
        <v>#VALUE!</v>
      </c>
      <c r="L12" s="1222">
        <f ca="1">IFERROR(+SUMIF('1 SAL VNQ TAB'!$R:$R,$B12,'1 SAL VNQ TAB'!$U:$U),0)</f>
        <v>0</v>
      </c>
      <c r="M12" s="1222">
        <f ca="1">IFERROR(+SUMIF('2 SAL VNQ'!$AI$4:$AI$9,$B12,'2 SAL VNQ'!$AJ$4:$AJ$9),0)</f>
        <v>0</v>
      </c>
      <c r="N12" s="1222">
        <f ca="1">+IFERROR(SUMIF('2 SAL VNQ TAB'!$R:$R,$B12,'2 SAL VNQ TAB'!$U:$U),0)</f>
        <v>0</v>
      </c>
      <c r="O12" s="1222">
        <v>0</v>
      </c>
      <c r="P12" s="1222">
        <f ca="1">IFERROR(+SUMIF('3 SAL VNQ TAB'!$R:$R,$B12,'3 SAL VNQ TAB'!$U:$U),0)</f>
        <v>0</v>
      </c>
      <c r="Q12" s="1222">
        <f ca="1">IFERROR(+SUMIF('4 SAL VNQ'!$BO$4:$BO$9,$B12,'4 SAL VNQ'!$BP$4:$BP$9),0)</f>
        <v>0</v>
      </c>
      <c r="R12" s="1222">
        <f ca="1">+IFERROR(+SUMIF('4 SAL VNQ TAB'!$R:$R,$B12,'4 SAL VNQ TAB'!$U:$U),0)</f>
        <v>0</v>
      </c>
      <c r="S12" s="1222" cm="1">
        <f t="array" aca="1" ref="S12" ca="1">+IFERROR(+SUMIF(Categoriesalsaldo,$B12,Imponibilesalsaldo),0)</f>
        <v>0</v>
      </c>
      <c r="T12" s="1222">
        <f>+IFERROR(+SUMIF('SALDO SAL VNQ'!$CE$4:$CE$9,$B12,'SALDO SAL VNQ'!CF9:CF14),0)</f>
        <v>0</v>
      </c>
      <c r="U12" s="1018">
        <f t="shared" ca="1" si="1"/>
        <v>0</v>
      </c>
      <c r="W12" s="989">
        <v>1000</v>
      </c>
    </row>
    <row r="13" spans="1:23" s="989" customFormat="1" ht="28.5" customHeight="1" thickBot="1" x14ac:dyDescent="0.4">
      <c r="B13" s="1093" t="str">
        <f>+IF(Anagrafica!$G$2="Capo II","TOTALE INVESTIMENTO","")</f>
        <v/>
      </c>
      <c r="C13" s="1097" t="str">
        <f>+Anagrafica!I36</f>
        <v/>
      </c>
      <c r="D13" s="1080" t="str">
        <f>+Anagrafica!J36</f>
        <v/>
      </c>
      <c r="E13" s="1076" t="e">
        <f t="shared" ref="E13:I13" ca="1" si="2">+SUM(E7:E12)</f>
        <v>#REF!</v>
      </c>
      <c r="F13" s="1070" t="e">
        <f t="shared" ca="1" si="2"/>
        <v>#REF!</v>
      </c>
      <c r="G13" s="1070">
        <f t="shared" si="2"/>
        <v>0</v>
      </c>
      <c r="H13" s="1070" t="e">
        <f t="shared" ca="1" si="2"/>
        <v>#DIV/0!</v>
      </c>
      <c r="I13" s="1071" t="e">
        <f t="shared" si="2"/>
        <v>#DIV/0!</v>
      </c>
      <c r="J13" s="1083" t="e">
        <f ca="1">+SUM(J7:J12)</f>
        <v>#REF!</v>
      </c>
    </row>
    <row r="14" spans="1:23" s="989" customFormat="1" ht="27.75" customHeight="1" thickBot="1" x14ac:dyDescent="0.4">
      <c r="B14" s="1092" t="str">
        <f>+IF(Anagrafica!$G$2="Capo II","Capitale circolante","")</f>
        <v/>
      </c>
      <c r="C14" s="1096">
        <f>+Anagrafica!C31</f>
        <v>0</v>
      </c>
      <c r="D14" s="1072">
        <f>+Anagrafica!C31</f>
        <v>0</v>
      </c>
      <c r="E14" s="1067">
        <f>+'1 SAL'!E117+'2 SAL'!E133+'3 SAL'!E136+'4 SAL'!E131+'SAL SALDO'!E133</f>
        <v>0</v>
      </c>
      <c r="F14" s="1067">
        <f>+'1 SAL'!F117+'2 SAL'!F133+'3 SAL'!F136+'4 SAL'!F131+'SAL SALDO'!F133</f>
        <v>0</v>
      </c>
      <c r="G14" s="1067">
        <f>+'1 SAL'!G117+'2 SAL'!G133+'3 SAL'!G136+'4 SAL'!G131+'SAL SALDO'!G133</f>
        <v>0</v>
      </c>
      <c r="H14" s="1064">
        <f ca="1">IFERROR(G14*Anagrafica!$F$38,0)</f>
        <v>0</v>
      </c>
      <c r="I14" s="1086">
        <v>0</v>
      </c>
      <c r="J14" s="1082">
        <f t="shared" si="0"/>
        <v>0</v>
      </c>
      <c r="Q14"/>
    </row>
    <row r="15" spans="1:23" s="989" customFormat="1" ht="31.5" customHeight="1" thickBot="1" x14ac:dyDescent="0.4">
      <c r="B15" s="1219" t="str">
        <f>+IF(Anagrafica!G2="Capo II","TOTALE PROGRAMMA DI SPESA","")</f>
        <v/>
      </c>
      <c r="C15" s="1076" t="str">
        <f>+Anagrafica!I38</f>
        <v/>
      </c>
      <c r="D15" s="1070" t="str">
        <f>+Anagrafica!J38</f>
        <v/>
      </c>
      <c r="E15" s="1070" t="e">
        <f ca="1">+E13+E14</f>
        <v>#REF!</v>
      </c>
      <c r="F15" s="1070" t="e">
        <f ca="1">+F13+F14</f>
        <v>#REF!</v>
      </c>
      <c r="G15" s="1070">
        <f>+G13+G14</f>
        <v>0</v>
      </c>
      <c r="H15" s="1070" t="e">
        <f ca="1">+H14+H13</f>
        <v>#DIV/0!</v>
      </c>
      <c r="I15" s="1071" t="e">
        <f>+I13</f>
        <v>#DIV/0!</v>
      </c>
      <c r="J15" s="1083" t="e">
        <f ca="1">+J14+J13</f>
        <v>#REF!</v>
      </c>
    </row>
    <row r="16" spans="1:23" s="989" customFormat="1" x14ac:dyDescent="0.35"/>
    <row r="17" spans="2:10" s="989" customFormat="1" x14ac:dyDescent="0.35"/>
    <row r="18" spans="2:10" s="989" customFormat="1" x14ac:dyDescent="0.35"/>
    <row r="19" spans="2:10" s="989" customFormat="1" x14ac:dyDescent="0.35"/>
    <row r="20" spans="2:10" s="989" customFormat="1" x14ac:dyDescent="0.35"/>
    <row r="21" spans="2:10" s="989" customFormat="1" x14ac:dyDescent="0.35"/>
    <row r="22" spans="2:10" s="989" customFormat="1" ht="15" thickBot="1" x14ac:dyDescent="0.4"/>
    <row r="23" spans="2:10" s="989" customFormat="1" ht="15" thickBot="1" x14ac:dyDescent="0.4">
      <c r="B23" s="2257" t="s">
        <v>2340</v>
      </c>
      <c r="C23" s="2258"/>
    </row>
    <row r="24" spans="2:10" s="989" customFormat="1" x14ac:dyDescent="0.35">
      <c r="B24" s="1221" t="s">
        <v>2328</v>
      </c>
      <c r="C24" s="1015">
        <f ca="1">+Anticipo!F47+'1 SAL'!F125+'2 SAL'!F143+'4 SAL'!F141+'SAL SALDO'!F143</f>
        <v>0</v>
      </c>
      <c r="D24" s="1223" t="str">
        <f ca="1">+IFERROR(+IF(C24&lt;&gt;H15,"Non è stato possibile, per la natura delle spese presentate nei SAL, bilanciare l'erogato con il da erogare",""),"")</f>
        <v/>
      </c>
      <c r="F24" s="1018"/>
      <c r="G24" s="1018"/>
    </row>
    <row r="25" spans="2:10" s="989" customFormat="1" ht="15" thickBot="1" x14ac:dyDescent="0.4">
      <c r="B25" s="1220" t="s">
        <v>432</v>
      </c>
      <c r="C25" s="1218">
        <f ca="1">+'1 SAL'!F127+'2 SAL'!F145+'3 SAL'!F148+'4 SAL'!F143+'SAL SALDO'!F145</f>
        <v>0</v>
      </c>
      <c r="D25" s="1223" t="str">
        <f ca="1">+IFERROR(+IF(C25&lt;&gt;I15,"Non è stato possibile, per la natura delle spese presentate nei SAL, bilanciare l'erogato con il da erogare",""),"")</f>
        <v/>
      </c>
      <c r="H25" s="1018"/>
      <c r="J25" s="1018"/>
    </row>
    <row r="26" spans="2:10" s="989" customFormat="1" x14ac:dyDescent="0.35">
      <c r="G26" s="1018"/>
      <c r="J26" s="1018"/>
    </row>
    <row r="27" spans="2:10" s="989" customFormat="1" x14ac:dyDescent="0.35">
      <c r="G27" s="1018"/>
    </row>
    <row r="28" spans="2:10" s="989" customFormat="1" x14ac:dyDescent="0.35"/>
    <row r="29" spans="2:10" s="989" customFormat="1" x14ac:dyDescent="0.35"/>
    <row r="30" spans="2:10" s="989" customFormat="1" x14ac:dyDescent="0.35"/>
    <row r="31" spans="2:10" s="989" customFormat="1" x14ac:dyDescent="0.35"/>
    <row r="32" spans="2:10" s="989" customFormat="1" x14ac:dyDescent="0.35"/>
    <row r="33" s="989" customFormat="1" x14ac:dyDescent="0.35"/>
    <row r="34" s="989" customFormat="1" x14ac:dyDescent="0.35"/>
    <row r="35" s="989" customFormat="1" x14ac:dyDescent="0.35"/>
    <row r="36" s="989" customFormat="1" x14ac:dyDescent="0.35"/>
    <row r="37" s="989" customFormat="1" x14ac:dyDescent="0.35"/>
    <row r="38" s="989" customFormat="1" x14ac:dyDescent="0.35"/>
    <row r="39" s="989" customFormat="1" x14ac:dyDescent="0.35"/>
    <row r="40" s="989" customFormat="1" x14ac:dyDescent="0.35"/>
    <row r="41" s="989" customFormat="1" x14ac:dyDescent="0.35"/>
    <row r="42" s="989" customFormat="1" x14ac:dyDescent="0.35"/>
    <row r="43" s="989" customFormat="1" x14ac:dyDescent="0.35"/>
    <row r="44" s="989" customFormat="1" x14ac:dyDescent="0.35"/>
    <row r="45" s="989" customFormat="1" x14ac:dyDescent="0.35"/>
    <row r="46" s="989" customFormat="1" x14ac:dyDescent="0.35"/>
    <row r="47" s="989" customFormat="1" x14ac:dyDescent="0.35"/>
    <row r="48" s="989" customFormat="1" x14ac:dyDescent="0.35"/>
    <row r="49" s="989" customFormat="1" x14ac:dyDescent="0.35"/>
    <row r="50" s="989" customFormat="1" x14ac:dyDescent="0.35"/>
  </sheetData>
  <mergeCells count="3">
    <mergeCell ref="B23:C23"/>
    <mergeCell ref="C5:D5"/>
    <mergeCell ref="E5:I5"/>
  </mergeCell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13" id="{053D62F4-B298-4CC5-8776-13E362BBD1FB}">
            <xm:f>+IF(Anagrafica!$G$2="Capo III",1,0)</xm:f>
            <x14:dxf>
              <font>
                <b/>
                <i val="0"/>
              </font>
              <fill>
                <patternFill>
                  <bgColor theme="8" tint="0.59996337778862885"/>
                </patternFill>
              </fill>
              <border>
                <top style="thin">
                  <color auto="1"/>
                </top>
                <bottom style="thin">
                  <color auto="1"/>
                </bottom>
              </border>
            </x14:dxf>
          </x14:cfRule>
          <xm:sqref>B11</xm:sqref>
        </x14:conditionalFormatting>
        <x14:conditionalFormatting xmlns:xm="http://schemas.microsoft.com/office/excel/2006/main">
          <x14:cfRule type="expression" priority="12" id="{3C021D4E-0AC7-4379-A954-9FC43C0FE83B}">
            <xm:f>+IF(Anagrafica!$G$2="Capo III",1,0)</xm:f>
            <x14:dxf>
              <fill>
                <patternFill>
                  <bgColor theme="8" tint="0.59996337778862885"/>
                </patternFill>
              </fill>
            </x14:dxf>
          </x14:cfRule>
          <xm:sqref>C11:F11 H11:J11</xm:sqref>
        </x14:conditionalFormatting>
        <x14:conditionalFormatting xmlns:xm="http://schemas.microsoft.com/office/excel/2006/main">
          <x14:cfRule type="expression" priority="10" id="{74F98264-AAEE-43C6-9AB0-EC807A93664F}">
            <xm:f>+IF(Anagrafica!$G$2="Capo III",1,0)</xm:f>
            <x14:dxf>
              <font>
                <color theme="0"/>
              </font>
              <fill>
                <patternFill>
                  <bgColor theme="0"/>
                </patternFill>
              </fill>
              <border>
                <left/>
                <right/>
                <top/>
                <bottom/>
                <vertical/>
                <horizontal/>
              </border>
            </x14:dxf>
          </x14:cfRule>
          <xm:sqref>B13:J15 B12:F12 H12:J12</xm:sqref>
        </x14:conditionalFormatting>
        <x14:conditionalFormatting xmlns:xm="http://schemas.microsoft.com/office/excel/2006/main">
          <x14:cfRule type="expression" priority="9" id="{78B4E46C-0D7C-496D-BD9F-8C16E41F408B}">
            <xm:f>+IF(Anagrafica!$G$2="Capo III",1,0)</xm:f>
            <x14:dxf>
              <border>
                <left/>
                <right/>
                <top style="thin">
                  <color auto="1"/>
                </top>
                <bottom/>
                <vertical/>
                <horizontal/>
              </border>
            </x14:dxf>
          </x14:cfRule>
          <xm:sqref>B12:D12 H12:J12</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19f42d3e-48e0-444b-a33a-502b982cedf9">
      <UserInfo>
        <DisplayName/>
        <AccountId xsi:nil="true"/>
        <AccountType/>
      </UserInfo>
    </SharedWithUsers>
    <TaxCatchAll xmlns="19f42d3e-48e0-444b-a33a-502b982cedf9" xsi:nil="true"/>
    <lcf76f155ced4ddcb4097134ff3c332f xmlns="c4943760-71bf-48c8-a9a1-2025205378a5">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75FCBBA1D2B3DB4281E0D46683164C59" ma:contentTypeVersion="10" ma:contentTypeDescription="Creare un nuovo documento." ma:contentTypeScope="" ma:versionID="b3fb38400b428b1503aa08311cd2112c">
  <xsd:schema xmlns:xsd="http://www.w3.org/2001/XMLSchema" xmlns:xs="http://www.w3.org/2001/XMLSchema" xmlns:p="http://schemas.microsoft.com/office/2006/metadata/properties" xmlns:ns2="c4943760-71bf-48c8-a9a1-2025205378a5" xmlns:ns3="19f42d3e-48e0-444b-a33a-502b982cedf9" targetNamespace="http://schemas.microsoft.com/office/2006/metadata/properties" ma:root="true" ma:fieldsID="b33c2ba097d049edb5fa15b54f2afecc" ns2:_="" ns3:_="">
    <xsd:import namespace="c4943760-71bf-48c8-a9a1-2025205378a5"/>
    <xsd:import namespace="19f42d3e-48e0-444b-a33a-502b982ced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943760-71bf-48c8-a9a1-2025205378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Tag immagine" ma:readOnly="false" ma:fieldId="{5cf76f15-5ced-4ddc-b409-7134ff3c332f}" ma:taxonomyMulti="true" ma:sspId="7286b6b2-c72c-46b9-90f5-a8990622a002"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9f42d3e-48e0-444b-a33a-502b982cedf9" elementFormDefault="qualified">
    <xsd:import namespace="http://schemas.microsoft.com/office/2006/documentManagement/types"/>
    <xsd:import namespace="http://schemas.microsoft.com/office/infopath/2007/PartnerControls"/>
    <xsd:element name="SharedWithUsers" ma:index="10"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Condiviso con dettagli" ma:internalName="SharedWithDetails" ma:readOnly="true">
      <xsd:simpleType>
        <xsd:restriction base="dms:Note">
          <xsd:maxLength value="255"/>
        </xsd:restriction>
      </xsd:simpleType>
    </xsd:element>
    <xsd:element name="TaxCatchAll" ma:index="14" nillable="true" ma:displayName="Taxonomy Catch All Column" ma:hidden="true" ma:list="{37606dc0-bbe4-4436-bd32-912be7cc3b2e}" ma:internalName="TaxCatchAll" ma:showField="CatchAllData" ma:web="19f42d3e-48e0-444b-a33a-502b982ced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71EB23E-C269-4F7B-9720-8550CE4C49BE}">
  <ds:schemaRefs>
    <ds:schemaRef ds:uri="http://schemas.microsoft.com/sharepoint/v3/contenttype/forms"/>
  </ds:schemaRefs>
</ds:datastoreItem>
</file>

<file path=customXml/itemProps2.xml><?xml version="1.0" encoding="utf-8"?>
<ds:datastoreItem xmlns:ds="http://schemas.openxmlformats.org/officeDocument/2006/customXml" ds:itemID="{F6144C44-E7B2-4161-9315-7DD3EB1956E8}">
  <ds:schemaRefs>
    <ds:schemaRef ds:uri="http://schemas.microsoft.com/office/2006/metadata/properties"/>
    <ds:schemaRef ds:uri="http://schemas.microsoft.com/office/infopath/2007/PartnerControls"/>
    <ds:schemaRef ds:uri="19f42d3e-48e0-444b-a33a-502b982cedf9"/>
    <ds:schemaRef ds:uri="c4943760-71bf-48c8-a9a1-2025205378a5"/>
  </ds:schemaRefs>
</ds:datastoreItem>
</file>

<file path=customXml/itemProps3.xml><?xml version="1.0" encoding="utf-8"?>
<ds:datastoreItem xmlns:ds="http://schemas.openxmlformats.org/officeDocument/2006/customXml" ds:itemID="{16685FB9-F979-4CBA-9704-A9A0ED230A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943760-71bf-48c8-a9a1-2025205378a5"/>
    <ds:schemaRef ds:uri="19f42d3e-48e0-444b-a33a-502b982ced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50</vt:i4>
      </vt:variant>
      <vt:variant>
        <vt:lpstr>Intervalli denominati</vt:lpstr>
      </vt:variant>
      <vt:variant>
        <vt:i4>79</vt:i4>
      </vt:variant>
    </vt:vector>
  </HeadingPairs>
  <TitlesOfParts>
    <vt:vector size="129" baseType="lpstr">
      <vt:lpstr>Dati riepilogativi</vt:lpstr>
      <vt:lpstr>Fonti-Impieghi</vt:lpstr>
      <vt:lpstr>SP-CE-RF</vt:lpstr>
      <vt:lpstr>Report</vt:lpstr>
      <vt:lpstr>Analisi</vt:lpstr>
      <vt:lpstr>Simulazione</vt:lpstr>
      <vt:lpstr>Foglio2</vt:lpstr>
      <vt:lpstr>Preventivi</vt:lpstr>
      <vt:lpstr>Gestione nomi</vt:lpstr>
      <vt:lpstr>Programma di spesa ammesso</vt:lpstr>
      <vt:lpstr>Calcolo contributo CAPO II</vt:lpstr>
      <vt:lpstr>ON ANAGRAFICA</vt:lpstr>
      <vt:lpstr>Dettaglio Investimento</vt:lpstr>
      <vt:lpstr> Ucraina</vt:lpstr>
      <vt:lpstr>GBER</vt:lpstr>
      <vt:lpstr>FONTI - IMPIEGHI</vt:lpstr>
      <vt:lpstr>STORICO - PROSPETTICO</vt:lpstr>
      <vt:lpstr>Comuni_107_3_C</vt:lpstr>
      <vt:lpstr>ESL_V2</vt:lpstr>
      <vt:lpstr>ESL_V2 (2)</vt:lpstr>
      <vt:lpstr>Input RNA</vt:lpstr>
      <vt:lpstr>RNA</vt:lpstr>
      <vt:lpstr>Coperture_contratto</vt:lpstr>
      <vt:lpstr>Investimenti vs. contratto</vt:lpstr>
      <vt:lpstr>DATI_EROG_SIN</vt:lpstr>
      <vt:lpstr>Anagrafica</vt:lpstr>
      <vt:lpstr>Fonti e cc</vt:lpstr>
      <vt:lpstr>Anticipo</vt:lpstr>
      <vt:lpstr>Mandato Anticipo</vt:lpstr>
      <vt:lpstr>1 SAL</vt:lpstr>
      <vt:lpstr>1 SAL VNQ TAB</vt:lpstr>
      <vt:lpstr>Mandato 1 SAL</vt:lpstr>
      <vt:lpstr>2 SAL</vt:lpstr>
      <vt:lpstr>2 SAL VNQ</vt:lpstr>
      <vt:lpstr>Mandato 2 SAL</vt:lpstr>
      <vt:lpstr>3 SAL</vt:lpstr>
      <vt:lpstr>Mandato 3 SAL</vt:lpstr>
      <vt:lpstr>2 SAL VNQ TAB</vt:lpstr>
      <vt:lpstr>3 SAL VNQ</vt:lpstr>
      <vt:lpstr>4 SAL</vt:lpstr>
      <vt:lpstr>Mandato 4 SAL</vt:lpstr>
      <vt:lpstr>3 SAL VNQ TAB</vt:lpstr>
      <vt:lpstr>4 SAL VNQ</vt:lpstr>
      <vt:lpstr>SAL SALDO</vt:lpstr>
      <vt:lpstr>Mandato SAL SALDO</vt:lpstr>
      <vt:lpstr>4 SAL VNQ TAB</vt:lpstr>
      <vt:lpstr>SALDO SAL VNQ</vt:lpstr>
      <vt:lpstr>SAL UNICO</vt:lpstr>
      <vt:lpstr>Mandato SAL UNICO</vt:lpstr>
      <vt:lpstr>CHECK FINALE</vt:lpstr>
      <vt:lpstr>Abruzzo</vt:lpstr>
      <vt:lpstr>Ancona</vt:lpstr>
      <vt:lpstr>'1 SAL'!Area_stampa</vt:lpstr>
      <vt:lpstr>Anagrafica!Area_stampa</vt:lpstr>
      <vt:lpstr>Coperture_contratto!Area_stampa</vt:lpstr>
      <vt:lpstr>GBER!Area_stampa</vt:lpstr>
      <vt:lpstr>'Mandato 1 SAL'!Area_stampa</vt:lpstr>
      <vt:lpstr>'Mandato 2 SAL'!Area_stampa</vt:lpstr>
      <vt:lpstr>'Mandato 3 SAL'!Area_stampa</vt:lpstr>
      <vt:lpstr>'Mandato 4 SAL'!Area_stampa</vt:lpstr>
      <vt:lpstr>'Mandato Anticipo'!Area_stampa</vt:lpstr>
      <vt:lpstr>'Mandato SAL SALDO'!Area_stampa</vt:lpstr>
      <vt:lpstr>'Mandato SAL UNICO'!Area_stampa</vt:lpstr>
      <vt:lpstr>RNA!Area_stampa</vt:lpstr>
      <vt:lpstr>Arezzo</vt:lpstr>
      <vt:lpstr>Ascoli_Piceno</vt:lpstr>
      <vt:lpstr>Belluno</vt:lpstr>
      <vt:lpstr>Biella</vt:lpstr>
      <vt:lpstr>Preventivi!CAPOII</vt:lpstr>
      <vt:lpstr>CAPOII_Att</vt:lpstr>
      <vt:lpstr>CAPOIII</vt:lpstr>
      <vt:lpstr>CapoIII_ATT</vt:lpstr>
      <vt:lpstr>Chieti</vt:lpstr>
      <vt:lpstr>Como</vt:lpstr>
      <vt:lpstr>Cremona</vt:lpstr>
      <vt:lpstr>Emilia_Romagna</vt:lpstr>
      <vt:lpstr>Fermo</vt:lpstr>
      <vt:lpstr>Ferrara</vt:lpstr>
      <vt:lpstr>Fonti_Mutuo</vt:lpstr>
      <vt:lpstr>Forma_societaria</vt:lpstr>
      <vt:lpstr>Friuli_Venezia_Giulia</vt:lpstr>
      <vt:lpstr>Frosinone</vt:lpstr>
      <vt:lpstr>Genova</vt:lpstr>
      <vt:lpstr>Gorizia</vt:lpstr>
      <vt:lpstr>Grosseto</vt:lpstr>
      <vt:lpstr>Imperia</vt:lpstr>
      <vt:lpstr>L_Aquila</vt:lpstr>
      <vt:lpstr>La_Spezia</vt:lpstr>
      <vt:lpstr>Latina</vt:lpstr>
      <vt:lpstr>Lazio</vt:lpstr>
      <vt:lpstr>Liguria</vt:lpstr>
      <vt:lpstr>Livorno</vt:lpstr>
      <vt:lpstr>LOCALIZZAZIONE</vt:lpstr>
      <vt:lpstr>Lodi</vt:lpstr>
      <vt:lpstr>Lombardia</vt:lpstr>
      <vt:lpstr>Macerata</vt:lpstr>
      <vt:lpstr>Macrocategoria</vt:lpstr>
      <vt:lpstr>MacrocategoriaCapoII</vt:lpstr>
      <vt:lpstr>Mantova</vt:lpstr>
      <vt:lpstr>Marche</vt:lpstr>
      <vt:lpstr>Massa_Carrara</vt:lpstr>
      <vt:lpstr>Pavia</vt:lpstr>
      <vt:lpstr>Perugia</vt:lpstr>
      <vt:lpstr>Pesaro_e_Urbino</vt:lpstr>
      <vt:lpstr>Pescara</vt:lpstr>
      <vt:lpstr>Piacenza</vt:lpstr>
      <vt:lpstr>Piemonte</vt:lpstr>
      <vt:lpstr>Pisa</vt:lpstr>
      <vt:lpstr>Pistoia</vt:lpstr>
      <vt:lpstr>Pordenone</vt:lpstr>
      <vt:lpstr>REGIONE</vt:lpstr>
      <vt:lpstr>Rieti</vt:lpstr>
      <vt:lpstr>Roma</vt:lpstr>
      <vt:lpstr>Rovigo</vt:lpstr>
      <vt:lpstr>Savona</vt:lpstr>
      <vt:lpstr>Sondrio</vt:lpstr>
      <vt:lpstr>Teramo</vt:lpstr>
      <vt:lpstr>Terni</vt:lpstr>
      <vt:lpstr>Tipologie_erogazioni</vt:lpstr>
      <vt:lpstr>Torino</vt:lpstr>
      <vt:lpstr>Toscana</vt:lpstr>
      <vt:lpstr>Udine</vt:lpstr>
      <vt:lpstr>Umbria</vt:lpstr>
      <vt:lpstr>Valle_d_Aosta</vt:lpstr>
      <vt:lpstr>Valle_d_Aosta_Vallée_d_Aoste</vt:lpstr>
      <vt:lpstr>Veneto</vt:lpstr>
      <vt:lpstr>Venezia</vt:lpstr>
      <vt:lpstr>Vercelli</vt:lpstr>
      <vt:lpstr>Viterbo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"Matteo Crebelli" &lt;matteo.crebelli@gmail.com&gt;</dc:creator>
  <cp:keywords/>
  <dc:description/>
  <cp:lastModifiedBy>Di Fabio Alessia</cp:lastModifiedBy>
  <cp:revision/>
  <dcterms:created xsi:type="dcterms:W3CDTF">2021-05-31T08:56:39Z</dcterms:created>
  <dcterms:modified xsi:type="dcterms:W3CDTF">2022-10-11T06:49:58Z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0x01010075FCBBA1D2B3DB4281E0D46683164C59</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ies>
</file>